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charts/chart3.xml" ContentType="application/vnd.openxmlformats-officedocument.drawingml.chart+xml"/>
  <Override PartName="/xl/theme/themeOverride3.xml" ContentType="application/vnd.openxmlformats-officedocument.themeOverride+xml"/>
  <Override PartName="/xl/charts/chart4.xml" ContentType="application/vnd.openxmlformats-officedocument.drawingml.chart+xml"/>
  <Override PartName="/xl/theme/themeOverride4.xml" ContentType="application/vnd.openxmlformats-officedocument.themeOverride+xml"/>
  <Override PartName="/xl/charts/chart5.xml" ContentType="application/vnd.openxmlformats-officedocument.drawingml.chart+xml"/>
  <Override PartName="/xl/theme/themeOverride5.xml" ContentType="application/vnd.openxmlformats-officedocument.themeOverride+xml"/>
  <Override PartName="/xl/charts/chart6.xml" ContentType="application/vnd.openxmlformats-officedocument.drawingml.chart+xml"/>
  <Override PartName="/xl/theme/themeOverride6.xml" ContentType="application/vnd.openxmlformats-officedocument.themeOverride+xml"/>
  <Override PartName="/xl/drawings/drawing3.xml" ContentType="application/vnd.openxmlformats-officedocument.drawingml.chartshapes+xml"/>
  <Override PartName="/xl/charts/chart7.xml" ContentType="application/vnd.openxmlformats-officedocument.drawingml.chart+xml"/>
  <Override PartName="/xl/theme/themeOverride7.xml" ContentType="application/vnd.openxmlformats-officedocument.themeOverride+xml"/>
  <Override PartName="/xl/drawings/drawing4.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charts/chart9.xml" ContentType="application/vnd.openxmlformats-officedocument.drawingml.chart+xml"/>
  <Override PartName="/xl/theme/themeOverride9.xml" ContentType="application/vnd.openxmlformats-officedocument.themeOverride+xml"/>
  <Override PartName="/xl/drawings/drawing5.xml" ContentType="application/vnd.openxmlformats-officedocument.drawingml.chartshapes+xml"/>
  <Override PartName="/xl/charts/chart10.xml" ContentType="application/vnd.openxmlformats-officedocument.drawingml.chart+xml"/>
  <Override PartName="/xl/theme/themeOverride10.xml" ContentType="application/vnd.openxmlformats-officedocument.themeOverride+xml"/>
  <Override PartName="/xl/charts/chart11.xml" ContentType="application/vnd.openxmlformats-officedocument.drawingml.chart+xml"/>
  <Override PartName="/xl/theme/themeOverride11.xml" ContentType="application/vnd.openxmlformats-officedocument.themeOverride+xml"/>
  <Override PartName="/xl/drawings/drawing6.xml" ContentType="application/vnd.openxmlformats-officedocument.drawing+xml"/>
  <Override PartName="/xl/charts/chart12.xml" ContentType="application/vnd.openxmlformats-officedocument.drawingml.chart+xml"/>
  <Override PartName="/xl/theme/themeOverride12.xml" ContentType="application/vnd.openxmlformats-officedocument.themeOverride+xml"/>
  <Override PartName="/xl/charts/chart13.xml" ContentType="application/vnd.openxmlformats-officedocument.drawingml.chart+xml"/>
  <Override PartName="/xl/theme/themeOverride13.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harts/chart14.xml" ContentType="application/vnd.openxmlformats-officedocument.drawingml.chart+xml"/>
  <Override PartName="/xl/theme/themeOverride14.xml" ContentType="application/vnd.openxmlformats-officedocument.themeOverride+xml"/>
  <Override PartName="/xl/drawings/drawing9.xml" ContentType="application/vnd.openxmlformats-officedocument.drawingml.chartshapes+xml"/>
  <Override PartName="/xl/charts/chart15.xml" ContentType="application/vnd.openxmlformats-officedocument.drawingml.chart+xml"/>
  <Override PartName="/xl/theme/themeOverride15.xml" ContentType="application/vnd.openxmlformats-officedocument.themeOverride+xml"/>
  <Override PartName="/xl/drawings/drawing10.xml" ContentType="application/vnd.openxmlformats-officedocument.drawing+xml"/>
  <Override PartName="/xl/charts/chart16.xml" ContentType="application/vnd.openxmlformats-officedocument.drawingml.chart+xml"/>
  <Override PartName="/xl/theme/themeOverride16.xml" ContentType="application/vnd.openxmlformats-officedocument.themeOverride+xml"/>
  <Override PartName="/xl/charts/chart17.xml" ContentType="application/vnd.openxmlformats-officedocument.drawingml.chart+xml"/>
  <Override PartName="/xl/theme/themeOverride17.xml" ContentType="application/vnd.openxmlformats-officedocument.themeOverride+xml"/>
  <Override PartName="/xl/drawings/drawing11.xml" ContentType="application/vnd.openxmlformats-officedocument.drawingml.chartshapes+xml"/>
  <Override PartName="/xl/charts/chart18.xml" ContentType="application/vnd.openxmlformats-officedocument.drawingml.chart+xml"/>
  <Override PartName="/xl/theme/themeOverride18.xml" ContentType="application/vnd.openxmlformats-officedocument.themeOverride+xml"/>
  <Override PartName="/xl/charts/chart19.xml" ContentType="application/vnd.openxmlformats-officedocument.drawingml.chart+xml"/>
  <Override PartName="/xl/theme/themeOverride19.xml" ContentType="application/vnd.openxmlformats-officedocument.themeOverride+xml"/>
  <Override PartName="/xl/drawings/drawing12.xml" ContentType="application/vnd.openxmlformats-officedocument.drawingml.chartshapes+xml"/>
  <Override PartName="/xl/charts/chart20.xml" ContentType="application/vnd.openxmlformats-officedocument.drawingml.chart+xml"/>
  <Override PartName="/xl/theme/themeOverride20.xml" ContentType="application/vnd.openxmlformats-officedocument.themeOverride+xml"/>
  <Override PartName="/xl/charts/chart21.xml" ContentType="application/vnd.openxmlformats-officedocument.drawingml.chart+xml"/>
  <Override PartName="/xl/theme/themeOverride21.xml" ContentType="application/vnd.openxmlformats-officedocument.themeOverride+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S:\ECON\History of the Utah Tax Structure\"/>
    </mc:Choice>
  </mc:AlternateContent>
  <xr:revisionPtr revIDLastSave="0" documentId="13_ncr:1_{5A9914FD-7792-47C4-936B-37DA6F96D3BE}" xr6:coauthVersionLast="47" xr6:coauthVersionMax="47" xr10:uidLastSave="{00000000-0000-0000-0000-000000000000}"/>
  <bookViews>
    <workbookView xWindow="-120" yWindow="-120" windowWidth="29040" windowHeight="15720" tabRatio="826" xr2:uid="{00000000-000D-0000-FFFF-FFFF00000000}"/>
  </bookViews>
  <sheets>
    <sheet name="Total Excise" sheetId="44" r:id="rId1"/>
    <sheet name="Cigarette  and Tobacco Taxes" sheetId="10" r:id="rId2"/>
    <sheet name="Cigarette and Tobacco Charts" sheetId="41" r:id="rId3"/>
    <sheet name="Beer Tax" sheetId="12" r:id="rId4"/>
    <sheet name="Beer Tax Charts" sheetId="37" r:id="rId5"/>
    <sheet name="Insurance Premium Tax" sheetId="14" r:id="rId6"/>
    <sheet name="Insurance Premium Charts" sheetId="42" r:id="rId7"/>
    <sheet name="Oil &amp; Gas Conservation Fee" sheetId="3" r:id="rId8"/>
    <sheet name="O&amp;G Conservation Fee Charts" sheetId="43" r:id="rId9"/>
    <sheet name="Mining, Oil &amp; Gas Severance" sheetId="16" r:id="rId10"/>
    <sheet name="Mining, Oil &amp; Gas Charts" sheetId="17" r:id="rId11"/>
    <sheet name="Multi Channel Tax" sheetId="45" r:id="rId12"/>
    <sheet name="Pop &amp; CPI" sheetId="18" r:id="rId13"/>
  </sheets>
  <definedNames>
    <definedName name="_xlnm.Print_Titles" localSheetId="3">'Beer Tax'!#REF!</definedName>
    <definedName name="_xlnm.Print_Titles" localSheetId="1">'Cigarette  and Tobacco Taxes'!#REF!</definedName>
    <definedName name="_xlnm.Print_Titles" localSheetId="9">'Mining, Oil &amp; Gas Severance'!$4:$4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7" i="10" l="1"/>
  <c r="I104" i="44"/>
  <c r="I105" i="44"/>
  <c r="I106" i="44"/>
  <c r="I107" i="44"/>
  <c r="H104" i="44"/>
  <c r="H105" i="44"/>
  <c r="H106" i="44"/>
  <c r="H107" i="44"/>
  <c r="G104" i="44"/>
  <c r="G105" i="44"/>
  <c r="G106" i="44"/>
  <c r="G107" i="44"/>
  <c r="B91" i="16"/>
  <c r="C91" i="16" s="1"/>
  <c r="D91" i="16" s="1"/>
  <c r="H90" i="16"/>
  <c r="I90" i="16"/>
  <c r="H91" i="16"/>
  <c r="I91" i="16" s="1"/>
  <c r="G89" i="16"/>
  <c r="H89" i="16" s="1"/>
  <c r="I89" i="16" s="1"/>
  <c r="G90" i="16"/>
  <c r="B90" i="16" s="1"/>
  <c r="C90" i="16" s="1"/>
  <c r="D90" i="16" s="1"/>
  <c r="G91" i="16"/>
  <c r="G92" i="16"/>
  <c r="H92" i="16" s="1"/>
  <c r="I92" i="16" s="1"/>
  <c r="O90" i="16"/>
  <c r="P90" i="16" s="1"/>
  <c r="O91" i="16"/>
  <c r="P91" i="16" s="1"/>
  <c r="N90" i="16"/>
  <c r="N91" i="16"/>
  <c r="N92" i="16"/>
  <c r="O92" i="16" s="1"/>
  <c r="P92" i="16" s="1"/>
  <c r="F104" i="44"/>
  <c r="F105" i="44"/>
  <c r="F106" i="44"/>
  <c r="F107" i="44"/>
  <c r="C44" i="3"/>
  <c r="D44" i="3" s="1"/>
  <c r="C45" i="3"/>
  <c r="D45" i="3"/>
  <c r="C46" i="3"/>
  <c r="D46" i="3" s="1"/>
  <c r="C47" i="3"/>
  <c r="D47" i="3"/>
  <c r="E106" i="44"/>
  <c r="E107" i="44"/>
  <c r="I96" i="14"/>
  <c r="J96" i="14" s="1"/>
  <c r="K96" i="14" s="1"/>
  <c r="I97" i="14"/>
  <c r="E92" i="12"/>
  <c r="I92" i="12" s="1"/>
  <c r="E93" i="12"/>
  <c r="I93" i="12" s="1"/>
  <c r="E94" i="12"/>
  <c r="F94" i="12" s="1"/>
  <c r="G94" i="12" s="1"/>
  <c r="E95" i="12"/>
  <c r="D107" i="44" s="1"/>
  <c r="E91" i="12"/>
  <c r="C104" i="44"/>
  <c r="C105" i="44"/>
  <c r="C106" i="44"/>
  <c r="C107" i="44"/>
  <c r="J104" i="10"/>
  <c r="K104" i="10" s="1"/>
  <c r="J105" i="10"/>
  <c r="K105" i="10" s="1"/>
  <c r="J106" i="10"/>
  <c r="K106" i="10" s="1"/>
  <c r="J107" i="10"/>
  <c r="K107" i="10" s="1"/>
  <c r="D106" i="10"/>
  <c r="E106" i="10" s="1"/>
  <c r="F106" i="10" s="1"/>
  <c r="D107" i="10"/>
  <c r="F107" i="10" l="1"/>
  <c r="B92" i="16"/>
  <c r="C92" i="16" s="1"/>
  <c r="D92" i="16" s="1"/>
  <c r="D105" i="44"/>
  <c r="D104" i="44"/>
  <c r="J97" i="14"/>
  <c r="K97" i="14" s="1"/>
  <c r="I94" i="12"/>
  <c r="D106" i="44"/>
  <c r="B106" i="44"/>
  <c r="H106" i="10"/>
  <c r="F95" i="12"/>
  <c r="G95" i="12" s="1"/>
  <c r="B107" i="44"/>
  <c r="H107" i="10"/>
  <c r="G91" i="17"/>
  <c r="I95" i="12" l="1"/>
  <c r="D105" i="10" l="1"/>
  <c r="H105" i="10" l="1"/>
  <c r="E105" i="10"/>
  <c r="F105" i="10" s="1"/>
  <c r="B105" i="44"/>
  <c r="F93" i="12"/>
  <c r="G93" i="12" s="1"/>
  <c r="I95" i="14"/>
  <c r="E105" i="44" s="1"/>
  <c r="J95" i="14" l="1"/>
  <c r="K95" i="14" s="1"/>
  <c r="M89" i="16"/>
  <c r="N89" i="16" s="1"/>
  <c r="O89" i="16" l="1"/>
  <c r="P89" i="16" s="1"/>
  <c r="B89" i="16"/>
  <c r="C89" i="16" s="1"/>
  <c r="D89" i="16" s="1"/>
  <c r="I94" i="14"/>
  <c r="E104" i="44" s="1"/>
  <c r="D104" i="10"/>
  <c r="H104" i="10" s="1"/>
  <c r="H102" i="44"/>
  <c r="H101" i="44"/>
  <c r="H100" i="44"/>
  <c r="H99" i="44"/>
  <c r="H98" i="44"/>
  <c r="H97" i="44"/>
  <c r="H96" i="44"/>
  <c r="H95" i="44"/>
  <c r="H94" i="44"/>
  <c r="H93" i="44"/>
  <c r="H92" i="44"/>
  <c r="H91" i="44"/>
  <c r="H90" i="44"/>
  <c r="H89" i="44"/>
  <c r="H88" i="44"/>
  <c r="H87" i="44"/>
  <c r="H103" i="44"/>
  <c r="F103" i="44"/>
  <c r="I93" i="14"/>
  <c r="J93" i="14" s="1"/>
  <c r="K93" i="14" s="1"/>
  <c r="I91" i="12"/>
  <c r="C103" i="44"/>
  <c r="D103" i="10"/>
  <c r="H103" i="10" s="1"/>
  <c r="F102" i="44"/>
  <c r="I92" i="14"/>
  <c r="E102" i="44" s="1"/>
  <c r="E90" i="12"/>
  <c r="I90" i="12" s="1"/>
  <c r="C102" i="44"/>
  <c r="D102" i="10"/>
  <c r="H102" i="10" s="1"/>
  <c r="M88" i="16"/>
  <c r="N88" i="16" s="1"/>
  <c r="N87" i="16"/>
  <c r="O87" i="16" s="1"/>
  <c r="P87" i="16" s="1"/>
  <c r="G87" i="16"/>
  <c r="H87" i="16" s="1"/>
  <c r="I87" i="16" s="1"/>
  <c r="C43" i="3"/>
  <c r="D43" i="3" s="1"/>
  <c r="C42" i="3"/>
  <c r="D42" i="3" s="1"/>
  <c r="J103" i="10"/>
  <c r="K103" i="10" s="1"/>
  <c r="J102" i="10"/>
  <c r="K102" i="10" s="1"/>
  <c r="F101" i="44"/>
  <c r="I91" i="14"/>
  <c r="J91" i="14" s="1"/>
  <c r="K91" i="14" s="1"/>
  <c r="E89" i="12"/>
  <c r="I89" i="12" s="1"/>
  <c r="C101" i="44"/>
  <c r="D101" i="10"/>
  <c r="H101" i="10" s="1"/>
  <c r="N86" i="16"/>
  <c r="O86" i="16" s="1"/>
  <c r="P86" i="16" s="1"/>
  <c r="G86" i="16"/>
  <c r="H86" i="16" s="1"/>
  <c r="I86" i="16" s="1"/>
  <c r="C41" i="3"/>
  <c r="D41" i="3" s="1"/>
  <c r="J101" i="10"/>
  <c r="K101" i="10" s="1"/>
  <c r="D100" i="10"/>
  <c r="E100" i="10" s="1"/>
  <c r="F100" i="10" s="1"/>
  <c r="I90" i="14"/>
  <c r="E100" i="44" s="1"/>
  <c r="I89" i="14"/>
  <c r="E99" i="44" s="1"/>
  <c r="I88" i="14"/>
  <c r="E98" i="44" s="1"/>
  <c r="I87" i="14"/>
  <c r="E97" i="44" s="1"/>
  <c r="I86" i="14"/>
  <c r="E96" i="44" s="1"/>
  <c r="I85" i="14"/>
  <c r="I84" i="14"/>
  <c r="E94" i="44" s="1"/>
  <c r="I83" i="14"/>
  <c r="E93" i="44" s="1"/>
  <c r="I82" i="14"/>
  <c r="E92" i="44" s="1"/>
  <c r="I81" i="14"/>
  <c r="E91" i="44" s="1"/>
  <c r="I80" i="14"/>
  <c r="E90" i="44" s="1"/>
  <c r="I79" i="14"/>
  <c r="J79" i="14" s="1"/>
  <c r="K79" i="14" s="1"/>
  <c r="I78" i="14"/>
  <c r="E88" i="44" s="1"/>
  <c r="I77" i="14"/>
  <c r="E87" i="44" s="1"/>
  <c r="I76" i="14"/>
  <c r="E86" i="44" s="1"/>
  <c r="I75" i="14"/>
  <c r="E85" i="44" s="1"/>
  <c r="I74" i="14"/>
  <c r="E84" i="44" s="1"/>
  <c r="I73" i="14"/>
  <c r="I72" i="14"/>
  <c r="J72" i="14" s="1"/>
  <c r="K72" i="14" s="1"/>
  <c r="I71" i="14"/>
  <c r="E81" i="44" s="1"/>
  <c r="I70" i="14"/>
  <c r="E80" i="44" s="1"/>
  <c r="I69" i="14"/>
  <c r="J69" i="14" s="1"/>
  <c r="K69" i="14" s="1"/>
  <c r="I68" i="14"/>
  <c r="J68" i="14" s="1"/>
  <c r="K68" i="14" s="1"/>
  <c r="I67" i="14"/>
  <c r="J67" i="14" s="1"/>
  <c r="K67" i="14" s="1"/>
  <c r="I66" i="14"/>
  <c r="E76" i="44" s="1"/>
  <c r="I65" i="14"/>
  <c r="E75" i="44" s="1"/>
  <c r="I64" i="14"/>
  <c r="E74" i="44" s="1"/>
  <c r="I63" i="14"/>
  <c r="E73" i="44" s="1"/>
  <c r="I62" i="14"/>
  <c r="E72" i="44" s="1"/>
  <c r="I61" i="14"/>
  <c r="E71" i="44" s="1"/>
  <c r="I60" i="14"/>
  <c r="E70" i="44" s="1"/>
  <c r="I59" i="14"/>
  <c r="E69" i="44" s="1"/>
  <c r="I58" i="14"/>
  <c r="J58" i="14" s="1"/>
  <c r="K58" i="14" s="1"/>
  <c r="I57" i="14"/>
  <c r="J57" i="14" s="1"/>
  <c r="K57" i="14" s="1"/>
  <c r="I56" i="14"/>
  <c r="J56" i="14" s="1"/>
  <c r="K56" i="14" s="1"/>
  <c r="I55" i="14"/>
  <c r="J55" i="14" s="1"/>
  <c r="K55" i="14" s="1"/>
  <c r="I54" i="14"/>
  <c r="E64" i="44" s="1"/>
  <c r="I53" i="14"/>
  <c r="E63" i="44" s="1"/>
  <c r="I52" i="14"/>
  <c r="E62" i="44" s="1"/>
  <c r="I51" i="14"/>
  <c r="E61" i="44" s="1"/>
  <c r="I50" i="14"/>
  <c r="E60" i="44" s="1"/>
  <c r="I49" i="14"/>
  <c r="E59" i="44" s="1"/>
  <c r="I48" i="14"/>
  <c r="E58" i="44" s="1"/>
  <c r="I47" i="14"/>
  <c r="E57" i="44" s="1"/>
  <c r="I46" i="14"/>
  <c r="E56" i="44" s="1"/>
  <c r="I45" i="14"/>
  <c r="E55" i="44" s="1"/>
  <c r="I44" i="14"/>
  <c r="J44" i="14" s="1"/>
  <c r="K44" i="14" s="1"/>
  <c r="I43" i="14"/>
  <c r="J43" i="14" s="1"/>
  <c r="K43" i="14" s="1"/>
  <c r="I42" i="14"/>
  <c r="E52" i="44" s="1"/>
  <c r="I41" i="14"/>
  <c r="E51" i="44" s="1"/>
  <c r="I40" i="14"/>
  <c r="J40" i="14" s="1"/>
  <c r="K40" i="14" s="1"/>
  <c r="I39" i="14"/>
  <c r="J39" i="14" s="1"/>
  <c r="K39" i="14" s="1"/>
  <c r="I38" i="14"/>
  <c r="J38" i="14" s="1"/>
  <c r="K38" i="14" s="1"/>
  <c r="I37" i="14"/>
  <c r="J37" i="14" s="1"/>
  <c r="K37" i="14" s="1"/>
  <c r="I36" i="14"/>
  <c r="E46" i="44" s="1"/>
  <c r="I35" i="14"/>
  <c r="J35" i="14" s="1"/>
  <c r="K35" i="14" s="1"/>
  <c r="I34" i="14"/>
  <c r="J34" i="14" s="1"/>
  <c r="K34" i="14" s="1"/>
  <c r="I33" i="14"/>
  <c r="E43" i="44" s="1"/>
  <c r="I32" i="14"/>
  <c r="E42" i="44" s="1"/>
  <c r="I31" i="14"/>
  <c r="J31" i="14" s="1"/>
  <c r="K31" i="14" s="1"/>
  <c r="I30" i="14"/>
  <c r="E40" i="44" s="1"/>
  <c r="I29" i="14"/>
  <c r="E39" i="44" s="1"/>
  <c r="I28" i="14"/>
  <c r="E38" i="44" s="1"/>
  <c r="I27" i="14"/>
  <c r="J27" i="14" s="1"/>
  <c r="K27" i="14" s="1"/>
  <c r="I26" i="14"/>
  <c r="E36" i="44" s="1"/>
  <c r="I25" i="14"/>
  <c r="J25" i="14" s="1"/>
  <c r="K25" i="14" s="1"/>
  <c r="I24" i="14"/>
  <c r="J24" i="14" s="1"/>
  <c r="K24" i="14" s="1"/>
  <c r="I23" i="14"/>
  <c r="E33" i="44" s="1"/>
  <c r="I22" i="14"/>
  <c r="E32" i="44" s="1"/>
  <c r="I21" i="14"/>
  <c r="E31" i="44" s="1"/>
  <c r="I20" i="14"/>
  <c r="E30" i="44" s="1"/>
  <c r="I19" i="14"/>
  <c r="J19" i="14" s="1"/>
  <c r="K19" i="14" s="1"/>
  <c r="I18" i="14"/>
  <c r="E28" i="44" s="1"/>
  <c r="I17" i="14"/>
  <c r="E27" i="44" s="1"/>
  <c r="I16" i="14"/>
  <c r="E26" i="44" s="1"/>
  <c r="I15" i="14"/>
  <c r="J15" i="14" s="1"/>
  <c r="K15" i="14" s="1"/>
  <c r="I14" i="14"/>
  <c r="E24" i="44" s="1"/>
  <c r="I13" i="14"/>
  <c r="E23" i="44" s="1"/>
  <c r="I12" i="14"/>
  <c r="J12" i="14" s="1"/>
  <c r="K12" i="14" s="1"/>
  <c r="I11" i="14"/>
  <c r="J11" i="14" s="1"/>
  <c r="K11" i="14" s="1"/>
  <c r="I10" i="14"/>
  <c r="E20" i="44" s="1"/>
  <c r="I9" i="14"/>
  <c r="E19" i="44" s="1"/>
  <c r="I8" i="14"/>
  <c r="J8" i="14" s="1"/>
  <c r="K8" i="14" s="1"/>
  <c r="I7" i="14"/>
  <c r="J7" i="14" s="1"/>
  <c r="K7" i="14" s="1"/>
  <c r="I6" i="14"/>
  <c r="E16" i="44" s="1"/>
  <c r="G88" i="16"/>
  <c r="H88" i="16" s="1"/>
  <c r="I88" i="16" s="1"/>
  <c r="G64" i="44"/>
  <c r="G63" i="44"/>
  <c r="G62" i="44"/>
  <c r="G61" i="44"/>
  <c r="G60" i="44"/>
  <c r="G59" i="44"/>
  <c r="G58" i="44"/>
  <c r="G57" i="44"/>
  <c r="G56" i="44"/>
  <c r="G55" i="44"/>
  <c r="G54" i="44"/>
  <c r="G53" i="44"/>
  <c r="G52" i="44"/>
  <c r="G51" i="44"/>
  <c r="G50" i="44"/>
  <c r="G49" i="44"/>
  <c r="G48" i="44"/>
  <c r="G47" i="44"/>
  <c r="G46" i="44"/>
  <c r="G45" i="44"/>
  <c r="G44" i="44"/>
  <c r="G43" i="44"/>
  <c r="G42" i="44"/>
  <c r="G41" i="44"/>
  <c r="G40" i="44"/>
  <c r="G39" i="44"/>
  <c r="G38" i="44"/>
  <c r="G37" i="44"/>
  <c r="G36" i="44"/>
  <c r="G35" i="44"/>
  <c r="G34" i="44"/>
  <c r="G33" i="44"/>
  <c r="G32" i="44"/>
  <c r="G31" i="44"/>
  <c r="G30" i="44"/>
  <c r="G29" i="44"/>
  <c r="G28" i="44"/>
  <c r="G27" i="44"/>
  <c r="G26" i="44"/>
  <c r="G25" i="44"/>
  <c r="G24" i="44"/>
  <c r="G23" i="44"/>
  <c r="G22" i="44"/>
  <c r="G21" i="44"/>
  <c r="G20" i="44"/>
  <c r="F100" i="44"/>
  <c r="F99" i="44"/>
  <c r="F98" i="44"/>
  <c r="F97" i="44"/>
  <c r="F96" i="44"/>
  <c r="F95" i="44"/>
  <c r="F94" i="44"/>
  <c r="F93" i="44"/>
  <c r="F92" i="44"/>
  <c r="F91" i="44"/>
  <c r="F90" i="44"/>
  <c r="F89" i="44"/>
  <c r="F88" i="44"/>
  <c r="F87" i="44"/>
  <c r="F86" i="44"/>
  <c r="F85" i="44"/>
  <c r="F84" i="44"/>
  <c r="F83" i="44"/>
  <c r="F82" i="44"/>
  <c r="F81" i="44"/>
  <c r="F80" i="44"/>
  <c r="F79" i="44"/>
  <c r="F78" i="44"/>
  <c r="F77" i="44"/>
  <c r="F76" i="44"/>
  <c r="F75" i="44"/>
  <c r="F74" i="44"/>
  <c r="F73" i="44"/>
  <c r="F72" i="44"/>
  <c r="F71" i="44"/>
  <c r="F70" i="44"/>
  <c r="F69" i="44"/>
  <c r="F68" i="44"/>
  <c r="F67" i="44"/>
  <c r="F66" i="44"/>
  <c r="F65" i="44"/>
  <c r="F64" i="44"/>
  <c r="E95" i="44"/>
  <c r="E83" i="44"/>
  <c r="E15" i="44"/>
  <c r="C100" i="44"/>
  <c r="C99" i="44"/>
  <c r="C98" i="44"/>
  <c r="C97" i="44"/>
  <c r="C96" i="44"/>
  <c r="C95" i="44"/>
  <c r="C94" i="44"/>
  <c r="C93" i="44"/>
  <c r="C92" i="44"/>
  <c r="C91" i="44"/>
  <c r="C90" i="44"/>
  <c r="C89" i="44"/>
  <c r="C88" i="44"/>
  <c r="C87" i="44"/>
  <c r="C86" i="44"/>
  <c r="C85" i="44"/>
  <c r="C84" i="44"/>
  <c r="C83" i="44"/>
  <c r="C82" i="44"/>
  <c r="C81" i="44"/>
  <c r="C80" i="44"/>
  <c r="C79" i="44"/>
  <c r="C78" i="44"/>
  <c r="C77" i="44"/>
  <c r="C76" i="44"/>
  <c r="C75" i="44"/>
  <c r="C74" i="44"/>
  <c r="C73" i="44"/>
  <c r="C72" i="44"/>
  <c r="C71" i="44"/>
  <c r="C70" i="44"/>
  <c r="C69" i="44"/>
  <c r="C68" i="44"/>
  <c r="C67" i="44"/>
  <c r="C66" i="44"/>
  <c r="C65" i="44"/>
  <c r="C64" i="44"/>
  <c r="C63" i="44"/>
  <c r="C62" i="44"/>
  <c r="C61" i="44"/>
  <c r="C60" i="44"/>
  <c r="C59" i="44"/>
  <c r="C58" i="44"/>
  <c r="C57" i="44"/>
  <c r="C56" i="44"/>
  <c r="C55" i="44"/>
  <c r="C54" i="44"/>
  <c r="C53" i="44"/>
  <c r="C52" i="44"/>
  <c r="C51" i="44"/>
  <c r="C50" i="44"/>
  <c r="C49" i="44"/>
  <c r="C48" i="44"/>
  <c r="C47" i="44"/>
  <c r="C46" i="44"/>
  <c r="E88" i="12"/>
  <c r="D100" i="44" s="1"/>
  <c r="E87" i="12"/>
  <c r="D99" i="44" s="1"/>
  <c r="E86" i="12"/>
  <c r="D98" i="44" s="1"/>
  <c r="E85" i="12"/>
  <c r="F85" i="12" s="1"/>
  <c r="G85" i="12" s="1"/>
  <c r="E84" i="12"/>
  <c r="F84" i="12" s="1"/>
  <c r="G84" i="12" s="1"/>
  <c r="E83" i="12"/>
  <c r="D95" i="44" s="1"/>
  <c r="E82" i="12"/>
  <c r="D94" i="44" s="1"/>
  <c r="E81" i="12"/>
  <c r="D93" i="44" s="1"/>
  <c r="E80" i="12"/>
  <c r="D92" i="44" s="1"/>
  <c r="E79" i="12"/>
  <c r="D91" i="44" s="1"/>
  <c r="E78" i="12"/>
  <c r="D90" i="44" s="1"/>
  <c r="E77" i="12"/>
  <c r="D89" i="44" s="1"/>
  <c r="E76" i="12"/>
  <c r="D88" i="44" s="1"/>
  <c r="E75" i="12"/>
  <c r="D87" i="44" s="1"/>
  <c r="E74" i="12"/>
  <c r="D86" i="44" s="1"/>
  <c r="E73" i="12"/>
  <c r="D85" i="44" s="1"/>
  <c r="E72" i="12"/>
  <c r="D84" i="44" s="1"/>
  <c r="E71" i="12"/>
  <c r="D83" i="44" s="1"/>
  <c r="E70" i="12"/>
  <c r="D82" i="44" s="1"/>
  <c r="E69" i="12"/>
  <c r="D81" i="44" s="1"/>
  <c r="E68" i="12"/>
  <c r="D80" i="44" s="1"/>
  <c r="E67" i="12"/>
  <c r="D79" i="44" s="1"/>
  <c r="E66" i="12"/>
  <c r="D78" i="44" s="1"/>
  <c r="E65" i="12"/>
  <c r="D77" i="44" s="1"/>
  <c r="E64" i="12"/>
  <c r="D76" i="44" s="1"/>
  <c r="E63" i="12"/>
  <c r="D75" i="44" s="1"/>
  <c r="E62" i="12"/>
  <c r="D74" i="44" s="1"/>
  <c r="E61" i="12"/>
  <c r="D73" i="44" s="1"/>
  <c r="E60" i="12"/>
  <c r="D72" i="44" s="1"/>
  <c r="E59" i="12"/>
  <c r="D71" i="44" s="1"/>
  <c r="E58" i="12"/>
  <c r="D70" i="44" s="1"/>
  <c r="E57" i="12"/>
  <c r="D69" i="44" s="1"/>
  <c r="E56" i="12"/>
  <c r="D68" i="44" s="1"/>
  <c r="E55" i="12"/>
  <c r="D67" i="44" s="1"/>
  <c r="E54" i="12"/>
  <c r="D66" i="44" s="1"/>
  <c r="E53" i="12"/>
  <c r="D65" i="44" s="1"/>
  <c r="E52" i="12"/>
  <c r="D64" i="44" s="1"/>
  <c r="E51" i="12"/>
  <c r="D63" i="44" s="1"/>
  <c r="E50" i="12"/>
  <c r="D62" i="44" s="1"/>
  <c r="E49" i="12"/>
  <c r="D61" i="44" s="1"/>
  <c r="E48" i="12"/>
  <c r="D60" i="44" s="1"/>
  <c r="E47" i="12"/>
  <c r="D59" i="44" s="1"/>
  <c r="E46" i="12"/>
  <c r="D58" i="44" s="1"/>
  <c r="E45" i="12"/>
  <c r="D57" i="44" s="1"/>
  <c r="E44" i="12"/>
  <c r="D56" i="44" s="1"/>
  <c r="E43" i="12"/>
  <c r="D55" i="44" s="1"/>
  <c r="E42" i="12"/>
  <c r="D54" i="44" s="1"/>
  <c r="E41" i="12"/>
  <c r="D53" i="44" s="1"/>
  <c r="E40" i="12"/>
  <c r="D52" i="44" s="1"/>
  <c r="E39" i="12"/>
  <c r="D51" i="44" s="1"/>
  <c r="E38" i="12"/>
  <c r="D50" i="44" s="1"/>
  <c r="E37" i="12"/>
  <c r="D49" i="44" s="1"/>
  <c r="E36" i="12"/>
  <c r="D48" i="44" s="1"/>
  <c r="E35" i="12"/>
  <c r="D47" i="44" s="1"/>
  <c r="E34" i="12"/>
  <c r="D46" i="44" s="1"/>
  <c r="E33" i="12"/>
  <c r="D45" i="44" s="1"/>
  <c r="E32" i="12"/>
  <c r="D44" i="44" s="1"/>
  <c r="E31" i="12"/>
  <c r="D43" i="44" s="1"/>
  <c r="E30" i="12"/>
  <c r="D42" i="44" s="1"/>
  <c r="E29" i="12"/>
  <c r="D41" i="44" s="1"/>
  <c r="E28" i="12"/>
  <c r="D40" i="44" s="1"/>
  <c r="E27" i="12"/>
  <c r="D39" i="44" s="1"/>
  <c r="E26" i="12"/>
  <c r="D38" i="44" s="1"/>
  <c r="E25" i="12"/>
  <c r="D37" i="44" s="1"/>
  <c r="E24" i="12"/>
  <c r="D36" i="44" s="1"/>
  <c r="E23" i="12"/>
  <c r="D35" i="44" s="1"/>
  <c r="E22" i="12"/>
  <c r="D34" i="44" s="1"/>
  <c r="E21" i="12"/>
  <c r="D33" i="44" s="1"/>
  <c r="E20" i="12"/>
  <c r="D32" i="44" s="1"/>
  <c r="E19" i="12"/>
  <c r="D31" i="44" s="1"/>
  <c r="E18" i="12"/>
  <c r="D30" i="44" s="1"/>
  <c r="E17" i="12"/>
  <c r="D29" i="44" s="1"/>
  <c r="E16" i="12"/>
  <c r="D28" i="44" s="1"/>
  <c r="E15" i="12"/>
  <c r="D27" i="44" s="1"/>
  <c r="E14" i="12"/>
  <c r="D26" i="44" s="1"/>
  <c r="E13" i="12"/>
  <c r="D25" i="44" s="1"/>
  <c r="E12" i="12"/>
  <c r="D24" i="44" s="1"/>
  <c r="E11" i="12"/>
  <c r="D23" i="44" s="1"/>
  <c r="E10" i="12"/>
  <c r="D22" i="44" s="1"/>
  <c r="E9" i="12"/>
  <c r="D21" i="44" s="1"/>
  <c r="E8" i="12"/>
  <c r="D20" i="44" s="1"/>
  <c r="E7" i="12"/>
  <c r="D19" i="44" s="1"/>
  <c r="E6" i="12"/>
  <c r="D18" i="44" s="1"/>
  <c r="E5" i="12"/>
  <c r="D17" i="44" s="1"/>
  <c r="E4" i="12"/>
  <c r="D16" i="44" s="1"/>
  <c r="G32" i="16"/>
  <c r="H32" i="16" s="1"/>
  <c r="I32" i="16" s="1"/>
  <c r="M85" i="16"/>
  <c r="N85" i="16" s="1"/>
  <c r="O85" i="16" s="1"/>
  <c r="P85" i="16" s="1"/>
  <c r="N62" i="16"/>
  <c r="O62" i="16" s="1"/>
  <c r="P62" i="16" s="1"/>
  <c r="N61" i="16"/>
  <c r="O61" i="16" s="1"/>
  <c r="P61" i="16" s="1"/>
  <c r="N60" i="16"/>
  <c r="O60" i="16" s="1"/>
  <c r="P60" i="16" s="1"/>
  <c r="N59" i="16"/>
  <c r="O59" i="16" s="1"/>
  <c r="P59" i="16" s="1"/>
  <c r="N58" i="16"/>
  <c r="O58" i="16" s="1"/>
  <c r="P58" i="16" s="1"/>
  <c r="N57" i="16"/>
  <c r="O57" i="16" s="1"/>
  <c r="P57" i="16" s="1"/>
  <c r="N56" i="16"/>
  <c r="O56" i="16" s="1"/>
  <c r="P56" i="16" s="1"/>
  <c r="N55" i="16"/>
  <c r="O55" i="16" s="1"/>
  <c r="P55" i="16" s="1"/>
  <c r="N54" i="16"/>
  <c r="O54" i="16" s="1"/>
  <c r="P54" i="16" s="1"/>
  <c r="N53" i="16"/>
  <c r="O53" i="16" s="1"/>
  <c r="P53" i="16" s="1"/>
  <c r="N52" i="16"/>
  <c r="O52" i="16" s="1"/>
  <c r="P52" i="16" s="1"/>
  <c r="N51" i="16"/>
  <c r="O51" i="16" s="1"/>
  <c r="P51" i="16" s="1"/>
  <c r="N50" i="16"/>
  <c r="O50" i="16" s="1"/>
  <c r="P50" i="16" s="1"/>
  <c r="N49" i="16"/>
  <c r="O49" i="16" s="1"/>
  <c r="P49" i="16" s="1"/>
  <c r="N48" i="16"/>
  <c r="O48" i="16" s="1"/>
  <c r="P48" i="16" s="1"/>
  <c r="N47" i="16"/>
  <c r="O47" i="16" s="1"/>
  <c r="P47" i="16" s="1"/>
  <c r="N46" i="16"/>
  <c r="O46" i="16" s="1"/>
  <c r="P46" i="16" s="1"/>
  <c r="N45" i="16"/>
  <c r="O45" i="16" s="1"/>
  <c r="P45" i="16" s="1"/>
  <c r="N44" i="16"/>
  <c r="O44" i="16" s="1"/>
  <c r="P44" i="16" s="1"/>
  <c r="N43" i="16"/>
  <c r="O43" i="16" s="1"/>
  <c r="P43" i="16" s="1"/>
  <c r="N42" i="16"/>
  <c r="O42" i="16" s="1"/>
  <c r="P42" i="16" s="1"/>
  <c r="N41" i="16"/>
  <c r="O41" i="16" s="1"/>
  <c r="P41" i="16" s="1"/>
  <c r="N40" i="16"/>
  <c r="O40" i="16" s="1"/>
  <c r="P40" i="16" s="1"/>
  <c r="N39" i="16"/>
  <c r="O39" i="16" s="1"/>
  <c r="P39" i="16" s="1"/>
  <c r="N38" i="16"/>
  <c r="O38" i="16" s="1"/>
  <c r="P38" i="16" s="1"/>
  <c r="N37" i="16"/>
  <c r="O37" i="16" s="1"/>
  <c r="P37" i="16" s="1"/>
  <c r="N36" i="16"/>
  <c r="O36" i="16" s="1"/>
  <c r="P36" i="16" s="1"/>
  <c r="N35" i="16"/>
  <c r="O35" i="16" s="1"/>
  <c r="P35" i="16" s="1"/>
  <c r="N34" i="16"/>
  <c r="O34" i="16" s="1"/>
  <c r="P34" i="16" s="1"/>
  <c r="N33" i="16"/>
  <c r="O33" i="16" s="1"/>
  <c r="P33" i="16" s="1"/>
  <c r="N32" i="16"/>
  <c r="O32" i="16" s="1"/>
  <c r="P32" i="16" s="1"/>
  <c r="N31" i="16"/>
  <c r="O31" i="16" s="1"/>
  <c r="P31" i="16" s="1"/>
  <c r="G84" i="16"/>
  <c r="H84" i="16" s="1"/>
  <c r="I84" i="16" s="1"/>
  <c r="G83" i="16"/>
  <c r="H83" i="16" s="1"/>
  <c r="I83" i="16" s="1"/>
  <c r="G82" i="16"/>
  <c r="G81" i="16"/>
  <c r="H81" i="16" s="1"/>
  <c r="I81" i="16" s="1"/>
  <c r="G80" i="16"/>
  <c r="H80" i="16" s="1"/>
  <c r="I80" i="16" s="1"/>
  <c r="G79" i="16"/>
  <c r="H79" i="16" s="1"/>
  <c r="I79" i="16" s="1"/>
  <c r="G78" i="16"/>
  <c r="H78" i="16" s="1"/>
  <c r="I78" i="16" s="1"/>
  <c r="G77" i="16"/>
  <c r="H77" i="16" s="1"/>
  <c r="I77" i="16" s="1"/>
  <c r="G76" i="16"/>
  <c r="H76" i="16"/>
  <c r="I76" i="16" s="1"/>
  <c r="G75" i="16"/>
  <c r="H75" i="16" s="1"/>
  <c r="I75" i="16" s="1"/>
  <c r="G74" i="16"/>
  <c r="H74" i="16" s="1"/>
  <c r="I74" i="16" s="1"/>
  <c r="G73" i="16"/>
  <c r="H73" i="16" s="1"/>
  <c r="I73" i="16" s="1"/>
  <c r="G72" i="16"/>
  <c r="H72" i="16" s="1"/>
  <c r="I72" i="16" s="1"/>
  <c r="G71" i="16"/>
  <c r="H71" i="16" s="1"/>
  <c r="I71" i="16" s="1"/>
  <c r="G70" i="16"/>
  <c r="H70" i="16" s="1"/>
  <c r="I70" i="16" s="1"/>
  <c r="G69" i="16"/>
  <c r="G68" i="16"/>
  <c r="H68" i="16" s="1"/>
  <c r="I68" i="16" s="1"/>
  <c r="G67" i="16"/>
  <c r="H67" i="16" s="1"/>
  <c r="I67" i="16" s="1"/>
  <c r="G66" i="16"/>
  <c r="H66" i="16" s="1"/>
  <c r="I66" i="16" s="1"/>
  <c r="G65" i="16"/>
  <c r="H65" i="16" s="1"/>
  <c r="I65" i="16" s="1"/>
  <c r="G64" i="16"/>
  <c r="H64" i="16" s="1"/>
  <c r="I64" i="16" s="1"/>
  <c r="G63" i="16"/>
  <c r="H63" i="16" s="1"/>
  <c r="I63" i="16" s="1"/>
  <c r="G62" i="16"/>
  <c r="H62" i="16" s="1"/>
  <c r="I62" i="16" s="1"/>
  <c r="G61" i="16"/>
  <c r="H61" i="16" s="1"/>
  <c r="I61" i="16" s="1"/>
  <c r="G60" i="16"/>
  <c r="H60" i="16" s="1"/>
  <c r="I60" i="16" s="1"/>
  <c r="G59" i="16"/>
  <c r="H59" i="16" s="1"/>
  <c r="I59" i="16" s="1"/>
  <c r="G58" i="16"/>
  <c r="H58" i="16" s="1"/>
  <c r="I58" i="16" s="1"/>
  <c r="G57" i="16"/>
  <c r="H57" i="16" s="1"/>
  <c r="I57" i="16" s="1"/>
  <c r="G56" i="16"/>
  <c r="H56" i="16" s="1"/>
  <c r="I56" i="16" s="1"/>
  <c r="G55" i="16"/>
  <c r="H55" i="16"/>
  <c r="I55" i="16" s="1"/>
  <c r="G54" i="16"/>
  <c r="B54" i="16" s="1"/>
  <c r="C54" i="16" s="1"/>
  <c r="D54" i="16" s="1"/>
  <c r="G53" i="16"/>
  <c r="H53" i="16" s="1"/>
  <c r="I53" i="16" s="1"/>
  <c r="G52" i="16"/>
  <c r="H52" i="16" s="1"/>
  <c r="I52" i="16" s="1"/>
  <c r="G51" i="16"/>
  <c r="H51" i="16" s="1"/>
  <c r="I51" i="16" s="1"/>
  <c r="G50" i="16"/>
  <c r="H50" i="16" s="1"/>
  <c r="I50" i="16" s="1"/>
  <c r="G49" i="16"/>
  <c r="H49" i="16" s="1"/>
  <c r="I49" i="16" s="1"/>
  <c r="G48" i="16"/>
  <c r="H48" i="16" s="1"/>
  <c r="I48" i="16" s="1"/>
  <c r="G47" i="16"/>
  <c r="H47" i="16" s="1"/>
  <c r="I47" i="16" s="1"/>
  <c r="G46" i="16"/>
  <c r="H46" i="16" s="1"/>
  <c r="I46" i="16" s="1"/>
  <c r="G45" i="16"/>
  <c r="H45" i="16" s="1"/>
  <c r="I45" i="16" s="1"/>
  <c r="G44" i="16"/>
  <c r="H44" i="16" s="1"/>
  <c r="I44" i="16" s="1"/>
  <c r="G43" i="16"/>
  <c r="H43" i="16" s="1"/>
  <c r="I43" i="16" s="1"/>
  <c r="G42" i="16"/>
  <c r="H42" i="16" s="1"/>
  <c r="I42" i="16" s="1"/>
  <c r="G41" i="16"/>
  <c r="H41" i="16" s="1"/>
  <c r="I41" i="16" s="1"/>
  <c r="G40" i="16"/>
  <c r="H40" i="16" s="1"/>
  <c r="I40" i="16" s="1"/>
  <c r="G39" i="16"/>
  <c r="H39" i="16"/>
  <c r="I39" i="16" s="1"/>
  <c r="G38" i="16"/>
  <c r="H38" i="16" s="1"/>
  <c r="I38" i="16" s="1"/>
  <c r="G37" i="16"/>
  <c r="H37" i="16" s="1"/>
  <c r="I37" i="16" s="1"/>
  <c r="G36" i="16"/>
  <c r="H36" i="16" s="1"/>
  <c r="I36" i="16" s="1"/>
  <c r="G35" i="16"/>
  <c r="H35" i="16" s="1"/>
  <c r="I35" i="16" s="1"/>
  <c r="G34" i="16"/>
  <c r="H34" i="16" s="1"/>
  <c r="I34" i="16" s="1"/>
  <c r="G33" i="16"/>
  <c r="H33" i="16" s="1"/>
  <c r="I33" i="16" s="1"/>
  <c r="G31" i="16"/>
  <c r="H31" i="16" s="1"/>
  <c r="I31" i="16" s="1"/>
  <c r="G85" i="16"/>
  <c r="M63" i="16"/>
  <c r="N63" i="16" s="1"/>
  <c r="M64" i="16"/>
  <c r="N64" i="16" s="1"/>
  <c r="M65" i="16"/>
  <c r="N65" i="16" s="1"/>
  <c r="O65" i="16" s="1"/>
  <c r="P65" i="16" s="1"/>
  <c r="M66" i="16"/>
  <c r="N66" i="16" s="1"/>
  <c r="M67" i="16"/>
  <c r="N67" i="16" s="1"/>
  <c r="O67" i="16" s="1"/>
  <c r="P67" i="16" s="1"/>
  <c r="M68" i="16"/>
  <c r="N68" i="16" s="1"/>
  <c r="O68" i="16" s="1"/>
  <c r="P68" i="16" s="1"/>
  <c r="M69" i="16"/>
  <c r="N69" i="16" s="1"/>
  <c r="O69" i="16" s="1"/>
  <c r="P69" i="16" s="1"/>
  <c r="M70" i="16"/>
  <c r="N70" i="16" s="1"/>
  <c r="O70" i="16" s="1"/>
  <c r="P70" i="16" s="1"/>
  <c r="M71" i="16"/>
  <c r="N71" i="16" s="1"/>
  <c r="M72" i="16"/>
  <c r="N72" i="16" s="1"/>
  <c r="O72" i="16" s="1"/>
  <c r="P72" i="16" s="1"/>
  <c r="M73" i="16"/>
  <c r="N73" i="16" s="1"/>
  <c r="O73" i="16" s="1"/>
  <c r="P73" i="16" s="1"/>
  <c r="M74" i="16"/>
  <c r="N74" i="16" s="1"/>
  <c r="O74" i="16" s="1"/>
  <c r="P74" i="16" s="1"/>
  <c r="M75" i="16"/>
  <c r="N75" i="16" s="1"/>
  <c r="M76" i="16"/>
  <c r="N76" i="16" s="1"/>
  <c r="O76" i="16" s="1"/>
  <c r="P76" i="16" s="1"/>
  <c r="M77" i="16"/>
  <c r="N77" i="16" s="1"/>
  <c r="M78" i="16"/>
  <c r="N78" i="16" s="1"/>
  <c r="M79" i="16"/>
  <c r="N79" i="16" s="1"/>
  <c r="O79" i="16" s="1"/>
  <c r="P79" i="16" s="1"/>
  <c r="M80" i="16"/>
  <c r="N80" i="16" s="1"/>
  <c r="M81" i="16"/>
  <c r="N81" i="16" s="1"/>
  <c r="O81" i="16" s="1"/>
  <c r="P81" i="16" s="1"/>
  <c r="M82" i="16"/>
  <c r="N82" i="16" s="1"/>
  <c r="O82" i="16" s="1"/>
  <c r="P82" i="16" s="1"/>
  <c r="M83" i="16"/>
  <c r="N83" i="16" s="1"/>
  <c r="M84" i="16"/>
  <c r="N84" i="16" s="1"/>
  <c r="O84" i="16" s="1"/>
  <c r="P84" i="16" s="1"/>
  <c r="J82" i="14"/>
  <c r="K82" i="14" s="1"/>
  <c r="I87" i="12"/>
  <c r="J100" i="10"/>
  <c r="K100" i="10" s="1"/>
  <c r="J96" i="10"/>
  <c r="K96" i="10" s="1"/>
  <c r="J99" i="10"/>
  <c r="K99" i="10" s="1"/>
  <c r="J98" i="10"/>
  <c r="K98" i="10" s="1"/>
  <c r="J97" i="10"/>
  <c r="K97" i="10" s="1"/>
  <c r="D99" i="10"/>
  <c r="E99" i="10" s="1"/>
  <c r="F99" i="10" s="1"/>
  <c r="C39" i="3"/>
  <c r="D39" i="3" s="1"/>
  <c r="F87" i="12"/>
  <c r="G87" i="12" s="1"/>
  <c r="C40" i="3"/>
  <c r="D40" i="3" s="1"/>
  <c r="D98" i="10"/>
  <c r="E98" i="10" s="1"/>
  <c r="F98" i="10" s="1"/>
  <c r="D97" i="10"/>
  <c r="H97" i="10" s="1"/>
  <c r="C38" i="3"/>
  <c r="D38" i="3" s="1"/>
  <c r="J5" i="14"/>
  <c r="K5" i="14" s="1"/>
  <c r="J13" i="14"/>
  <c r="K13" i="14" s="1"/>
  <c r="J53" i="14"/>
  <c r="K53" i="14" s="1"/>
  <c r="J49" i="14"/>
  <c r="K49" i="14" s="1"/>
  <c r="D80" i="10"/>
  <c r="B80" i="44" s="1"/>
  <c r="D79" i="10"/>
  <c r="B79" i="44" s="1"/>
  <c r="D78" i="10"/>
  <c r="B78" i="44" s="1"/>
  <c r="D77" i="10"/>
  <c r="B77" i="44" s="1"/>
  <c r="D76" i="10"/>
  <c r="B76" i="44" s="1"/>
  <c r="D75" i="10"/>
  <c r="H75" i="10" s="1"/>
  <c r="D74" i="10"/>
  <c r="H74" i="10" s="1"/>
  <c r="D73" i="10"/>
  <c r="H73" i="10" s="1"/>
  <c r="D72" i="10"/>
  <c r="H72" i="10" s="1"/>
  <c r="D71" i="10"/>
  <c r="B71" i="44" s="1"/>
  <c r="D70" i="10"/>
  <c r="B70" i="44" s="1"/>
  <c r="D69" i="10"/>
  <c r="B69" i="44" s="1"/>
  <c r="D68" i="10"/>
  <c r="B68" i="44" s="1"/>
  <c r="D67" i="10"/>
  <c r="B67" i="44" s="1"/>
  <c r="D66" i="10"/>
  <c r="E66" i="10" s="1"/>
  <c r="F66" i="10" s="1"/>
  <c r="D65" i="10"/>
  <c r="H65" i="10" s="1"/>
  <c r="D64" i="10"/>
  <c r="B64" i="44" s="1"/>
  <c r="D63" i="10"/>
  <c r="B63" i="44" s="1"/>
  <c r="D62" i="10"/>
  <c r="B62" i="44" s="1"/>
  <c r="D61" i="10"/>
  <c r="B61" i="44" s="1"/>
  <c r="D60" i="10"/>
  <c r="B60" i="44" s="1"/>
  <c r="D59" i="10"/>
  <c r="B59" i="44" s="1"/>
  <c r="D58" i="10"/>
  <c r="H58" i="10" s="1"/>
  <c r="D57" i="10"/>
  <c r="B57" i="44" s="1"/>
  <c r="D56" i="10"/>
  <c r="H56" i="10" s="1"/>
  <c r="D55" i="10"/>
  <c r="B55" i="44" s="1"/>
  <c r="D54" i="10"/>
  <c r="E54" i="10" s="1"/>
  <c r="F54" i="10" s="1"/>
  <c r="D53" i="10"/>
  <c r="B53" i="44" s="1"/>
  <c r="D52" i="10"/>
  <c r="E52" i="10" s="1"/>
  <c r="F52" i="10" s="1"/>
  <c r="D51" i="10"/>
  <c r="E51" i="10" s="1"/>
  <c r="F51" i="10" s="1"/>
  <c r="D50" i="10"/>
  <c r="B50" i="44" s="1"/>
  <c r="D49" i="10"/>
  <c r="H49" i="10" s="1"/>
  <c r="D48" i="10"/>
  <c r="B48" i="44" s="1"/>
  <c r="D47" i="10"/>
  <c r="B47" i="44" s="1"/>
  <c r="D46" i="10"/>
  <c r="B46" i="44" s="1"/>
  <c r="D45" i="10"/>
  <c r="E45" i="10" s="1"/>
  <c r="F45" i="10" s="1"/>
  <c r="D44" i="10"/>
  <c r="B44" i="44" s="1"/>
  <c r="D43" i="10"/>
  <c r="E43" i="10" s="1"/>
  <c r="F43" i="10" s="1"/>
  <c r="D42" i="10"/>
  <c r="H42" i="10" s="1"/>
  <c r="D41" i="10"/>
  <c r="B41" i="44" s="1"/>
  <c r="D40" i="10"/>
  <c r="E40" i="10" s="1"/>
  <c r="F40" i="10" s="1"/>
  <c r="D39" i="10"/>
  <c r="B39" i="44" s="1"/>
  <c r="D38" i="10"/>
  <c r="H38" i="10" s="1"/>
  <c r="D37" i="10"/>
  <c r="H37" i="10" s="1"/>
  <c r="D36" i="10"/>
  <c r="H36" i="10" s="1"/>
  <c r="D35" i="10"/>
  <c r="B35" i="44" s="1"/>
  <c r="D34" i="10"/>
  <c r="H34" i="10" s="1"/>
  <c r="D33" i="10"/>
  <c r="B33" i="44" s="1"/>
  <c r="D32" i="10"/>
  <c r="H32" i="10" s="1"/>
  <c r="D31" i="10"/>
  <c r="B31" i="44" s="1"/>
  <c r="D30" i="10"/>
  <c r="H30" i="10" s="1"/>
  <c r="D29" i="10"/>
  <c r="B29" i="44" s="1"/>
  <c r="D28" i="10"/>
  <c r="B28" i="44" s="1"/>
  <c r="D27" i="10"/>
  <c r="E27" i="10" s="1"/>
  <c r="F27" i="10" s="1"/>
  <c r="D26" i="10"/>
  <c r="B26" i="44" s="1"/>
  <c r="D25" i="10"/>
  <c r="E25" i="10" s="1"/>
  <c r="F25" i="10" s="1"/>
  <c r="D24" i="10"/>
  <c r="B24" i="44" s="1"/>
  <c r="D23" i="10"/>
  <c r="B23" i="44" s="1"/>
  <c r="D22" i="10"/>
  <c r="B22" i="44" s="1"/>
  <c r="D21" i="10"/>
  <c r="B21" i="44" s="1"/>
  <c r="D20" i="10"/>
  <c r="B20" i="44" s="1"/>
  <c r="D19" i="10"/>
  <c r="B19" i="44" s="1"/>
  <c r="D18" i="10"/>
  <c r="H18" i="10" s="1"/>
  <c r="D17" i="10"/>
  <c r="E17" i="10" s="1"/>
  <c r="F17" i="10" s="1"/>
  <c r="D16" i="10"/>
  <c r="H16" i="10" s="1"/>
  <c r="D15" i="10"/>
  <c r="E15" i="10" s="1"/>
  <c r="F15" i="10" s="1"/>
  <c r="D14" i="10"/>
  <c r="H14" i="10" s="1"/>
  <c r="D13" i="10"/>
  <c r="B13" i="44" s="1"/>
  <c r="I13" i="44" s="1"/>
  <c r="D12" i="10"/>
  <c r="B12" i="44" s="1"/>
  <c r="I12" i="44" s="1"/>
  <c r="D11" i="10"/>
  <c r="B11" i="44" s="1"/>
  <c r="I11" i="44" s="1"/>
  <c r="D10" i="10"/>
  <c r="H10" i="10" s="1"/>
  <c r="D9" i="10"/>
  <c r="B9" i="44" s="1"/>
  <c r="I9" i="44" s="1"/>
  <c r="D8" i="10"/>
  <c r="H8" i="10" s="1"/>
  <c r="D7" i="10"/>
  <c r="E7" i="10" s="1"/>
  <c r="F7" i="10" s="1"/>
  <c r="D6" i="10"/>
  <c r="B6" i="44" s="1"/>
  <c r="I6" i="44" s="1"/>
  <c r="D5" i="10"/>
  <c r="B5" i="44" s="1"/>
  <c r="I5" i="44" s="1"/>
  <c r="C37" i="3"/>
  <c r="D37" i="3" s="1"/>
  <c r="C36" i="3"/>
  <c r="D36" i="3" s="1"/>
  <c r="C35" i="3"/>
  <c r="D35" i="3" s="1"/>
  <c r="C34" i="3"/>
  <c r="D34" i="3" s="1"/>
  <c r="C33" i="3"/>
  <c r="D33" i="3" s="1"/>
  <c r="J85" i="14"/>
  <c r="K85" i="14" s="1"/>
  <c r="J74" i="14"/>
  <c r="K74" i="14" s="1"/>
  <c r="J73" i="14"/>
  <c r="K73" i="14" s="1"/>
  <c r="E31" i="10"/>
  <c r="F31" i="10" s="1"/>
  <c r="B16" i="44"/>
  <c r="B40" i="44"/>
  <c r="B52" i="44"/>
  <c r="B25" i="44"/>
  <c r="B49" i="44"/>
  <c r="B65" i="44"/>
  <c r="E65" i="10"/>
  <c r="F65" i="10" s="1"/>
  <c r="B66" i="44"/>
  <c r="D96" i="10"/>
  <c r="B96" i="44" s="1"/>
  <c r="C31" i="16"/>
  <c r="D31" i="16" s="1"/>
  <c r="I33" i="12"/>
  <c r="I63" i="12"/>
  <c r="I66" i="12"/>
  <c r="I71" i="12"/>
  <c r="D81" i="10"/>
  <c r="H81" i="10" s="1"/>
  <c r="D95" i="10"/>
  <c r="H95" i="10" s="1"/>
  <c r="D94" i="10"/>
  <c r="H94" i="10" s="1"/>
  <c r="D93" i="10"/>
  <c r="B93" i="44" s="1"/>
  <c r="D92" i="10"/>
  <c r="E92" i="10" s="1"/>
  <c r="F92" i="10" s="1"/>
  <c r="D91" i="10"/>
  <c r="B91" i="44" s="1"/>
  <c r="D90" i="10"/>
  <c r="B90" i="44" s="1"/>
  <c r="D89" i="10"/>
  <c r="B89" i="44" s="1"/>
  <c r="D88" i="10"/>
  <c r="B88" i="44" s="1"/>
  <c r="D87" i="10"/>
  <c r="B87" i="44" s="1"/>
  <c r="D86" i="10"/>
  <c r="E86" i="10" s="1"/>
  <c r="F86" i="10" s="1"/>
  <c r="D85" i="10"/>
  <c r="H85" i="10" s="1"/>
  <c r="D84" i="10"/>
  <c r="H84" i="10" s="1"/>
  <c r="D83" i="10"/>
  <c r="B83" i="44" s="1"/>
  <c r="D82" i="10"/>
  <c r="H82" i="10" s="1"/>
  <c r="C49" i="16"/>
  <c r="D49" i="16" s="1"/>
  <c r="C48" i="16"/>
  <c r="D48" i="16" s="1"/>
  <c r="C47" i="16"/>
  <c r="D47" i="16" s="1"/>
  <c r="C46" i="16"/>
  <c r="D46" i="16" s="1"/>
  <c r="C45" i="16"/>
  <c r="D45" i="16" s="1"/>
  <c r="C44" i="16"/>
  <c r="D44" i="16" s="1"/>
  <c r="C43" i="16"/>
  <c r="D43" i="16" s="1"/>
  <c r="C42" i="16"/>
  <c r="D42" i="16" s="1"/>
  <c r="C41" i="16"/>
  <c r="D41" i="16" s="1"/>
  <c r="C40" i="16"/>
  <c r="D40" i="16" s="1"/>
  <c r="C39" i="16"/>
  <c r="D39" i="16" s="1"/>
  <c r="C38" i="16"/>
  <c r="D38" i="16" s="1"/>
  <c r="C37" i="16"/>
  <c r="D37" i="16" s="1"/>
  <c r="C36" i="16"/>
  <c r="D36" i="16" s="1"/>
  <c r="C35" i="16"/>
  <c r="D35" i="16" s="1"/>
  <c r="C34" i="16"/>
  <c r="D34" i="16" s="1"/>
  <c r="C33" i="16"/>
  <c r="D33" i="16" s="1"/>
  <c r="C32" i="16"/>
  <c r="D32" i="16" s="1"/>
  <c r="C30" i="16"/>
  <c r="D30" i="16" s="1"/>
  <c r="C29" i="16"/>
  <c r="D29" i="16" s="1"/>
  <c r="C28" i="16"/>
  <c r="D28" i="16" s="1"/>
  <c r="C27" i="16"/>
  <c r="D27" i="16" s="1"/>
  <c r="C26" i="16"/>
  <c r="D26" i="16" s="1"/>
  <c r="C25" i="16"/>
  <c r="D25" i="16" s="1"/>
  <c r="C24" i="16"/>
  <c r="D24" i="16" s="1"/>
  <c r="C23" i="16"/>
  <c r="D23" i="16" s="1"/>
  <c r="C22" i="16"/>
  <c r="D22" i="16" s="1"/>
  <c r="C21" i="16"/>
  <c r="D21" i="16" s="1"/>
  <c r="C20" i="16"/>
  <c r="D20" i="16" s="1"/>
  <c r="C19" i="16"/>
  <c r="D19" i="16" s="1"/>
  <c r="C18" i="16"/>
  <c r="D18" i="16" s="1"/>
  <c r="C17" i="16"/>
  <c r="D17" i="16" s="1"/>
  <c r="C16" i="16"/>
  <c r="D16" i="16" s="1"/>
  <c r="C15" i="16"/>
  <c r="D15" i="16" s="1"/>
  <c r="C14" i="16"/>
  <c r="D14" i="16" s="1"/>
  <c r="C13" i="16"/>
  <c r="D13" i="16" s="1"/>
  <c r="C12" i="16"/>
  <c r="D12" i="16" s="1"/>
  <c r="C11" i="16"/>
  <c r="D11" i="16" s="1"/>
  <c r="C10" i="16"/>
  <c r="D10" i="16" s="1"/>
  <c r="C9" i="16"/>
  <c r="D9" i="16" s="1"/>
  <c r="C8" i="16"/>
  <c r="D8" i="16" s="1"/>
  <c r="C7" i="16"/>
  <c r="D7" i="16" s="1"/>
  <c r="C6" i="16"/>
  <c r="D6" i="16" s="1"/>
  <c r="C5" i="16"/>
  <c r="D5" i="16" s="1"/>
  <c r="C32" i="3"/>
  <c r="D32" i="3" s="1"/>
  <c r="C31" i="3"/>
  <c r="D31" i="3" s="1"/>
  <c r="C30" i="3"/>
  <c r="D30" i="3" s="1"/>
  <c r="C29" i="3"/>
  <c r="D29" i="3" s="1"/>
  <c r="C28" i="3"/>
  <c r="D28" i="3" s="1"/>
  <c r="C27" i="3"/>
  <c r="D27" i="3" s="1"/>
  <c r="C26" i="3"/>
  <c r="D26" i="3" s="1"/>
  <c r="C25" i="3"/>
  <c r="D25" i="3" s="1"/>
  <c r="C24" i="3"/>
  <c r="D24" i="3"/>
  <c r="C23" i="3"/>
  <c r="D23" i="3" s="1"/>
  <c r="C22" i="3"/>
  <c r="D22" i="3" s="1"/>
  <c r="C21" i="3"/>
  <c r="D21" i="3" s="1"/>
  <c r="C20" i="3"/>
  <c r="D20" i="3" s="1"/>
  <c r="C19" i="3"/>
  <c r="D19" i="3" s="1"/>
  <c r="C18" i="3"/>
  <c r="D18" i="3" s="1"/>
  <c r="C17" i="3"/>
  <c r="D17" i="3" s="1"/>
  <c r="C16" i="3"/>
  <c r="D16" i="3" s="1"/>
  <c r="C15" i="3"/>
  <c r="D15" i="3" s="1"/>
  <c r="C14" i="3"/>
  <c r="D14" i="3" s="1"/>
  <c r="C13" i="3"/>
  <c r="D13" i="3" s="1"/>
  <c r="C12" i="3"/>
  <c r="D12" i="3" s="1"/>
  <c r="C11" i="3"/>
  <c r="D11" i="3" s="1"/>
  <c r="C10" i="3"/>
  <c r="D10" i="3" s="1"/>
  <c r="C9" i="3"/>
  <c r="D9" i="3" s="1"/>
  <c r="C8" i="3"/>
  <c r="D8" i="3" s="1"/>
  <c r="C7" i="3"/>
  <c r="D7" i="3" s="1"/>
  <c r="C6" i="3"/>
  <c r="D6" i="3" s="1"/>
  <c r="C5" i="3"/>
  <c r="D5" i="3" s="1"/>
  <c r="C4" i="3"/>
  <c r="D4" i="3" s="1"/>
  <c r="F71" i="12"/>
  <c r="G71" i="12" s="1"/>
  <c r="F69" i="12"/>
  <c r="G69" i="12" s="1"/>
  <c r="F66" i="12"/>
  <c r="G66" i="12" s="1"/>
  <c r="F48" i="12"/>
  <c r="G48" i="12" s="1"/>
  <c r="F33" i="12"/>
  <c r="G33" i="12" s="1"/>
  <c r="J95" i="10"/>
  <c r="K95" i="10" s="1"/>
  <c r="J94" i="10"/>
  <c r="K94" i="10" s="1"/>
  <c r="J93" i="10"/>
  <c r="K93" i="10" s="1"/>
  <c r="J92" i="10"/>
  <c r="K92" i="10" s="1"/>
  <c r="J91" i="10"/>
  <c r="K91" i="10" s="1"/>
  <c r="J90" i="10"/>
  <c r="K90" i="10" s="1"/>
  <c r="J89" i="10"/>
  <c r="K89" i="10" s="1"/>
  <c r="J88" i="10"/>
  <c r="K88" i="10" s="1"/>
  <c r="J87" i="10"/>
  <c r="K87" i="10" s="1"/>
  <c r="J86" i="10"/>
  <c r="K86" i="10" s="1"/>
  <c r="J85" i="10"/>
  <c r="K85" i="10" s="1"/>
  <c r="J84" i="10"/>
  <c r="K84" i="10" s="1"/>
  <c r="J83" i="10"/>
  <c r="K83" i="10" s="1"/>
  <c r="J82" i="10"/>
  <c r="K82" i="10" s="1"/>
  <c r="J81" i="10"/>
  <c r="K81" i="10" s="1"/>
  <c r="J80" i="10"/>
  <c r="K80" i="10" s="1"/>
  <c r="J79" i="10"/>
  <c r="K79" i="10" s="1"/>
  <c r="J78" i="10"/>
  <c r="K78" i="10" s="1"/>
  <c r="J77" i="10"/>
  <c r="K77" i="10" s="1"/>
  <c r="J76" i="10"/>
  <c r="K76" i="10" s="1"/>
  <c r="J75" i="10"/>
  <c r="K75" i="10" s="1"/>
  <c r="J74" i="10"/>
  <c r="K74" i="10" s="1"/>
  <c r="J73" i="10"/>
  <c r="K73" i="10" s="1"/>
  <c r="J72" i="10"/>
  <c r="K72" i="10" s="1"/>
  <c r="J71" i="10"/>
  <c r="K71" i="10" s="1"/>
  <c r="J70" i="10"/>
  <c r="K70" i="10" s="1"/>
  <c r="J69" i="10"/>
  <c r="K69" i="10" s="1"/>
  <c r="J68" i="10"/>
  <c r="K68" i="10" s="1"/>
  <c r="J67" i="10"/>
  <c r="K67" i="10" s="1"/>
  <c r="J66" i="10"/>
  <c r="K66" i="10" s="1"/>
  <c r="J65" i="10"/>
  <c r="K65" i="10" s="1"/>
  <c r="J64" i="10"/>
  <c r="K64" i="10" s="1"/>
  <c r="J63" i="10"/>
  <c r="K63" i="10" s="1"/>
  <c r="J62" i="10"/>
  <c r="K62" i="10" s="1"/>
  <c r="J61" i="10"/>
  <c r="K61" i="10" s="1"/>
  <c r="J60" i="10"/>
  <c r="K60" i="10" s="1"/>
  <c r="J59" i="10"/>
  <c r="K59" i="10" s="1"/>
  <c r="J58" i="10"/>
  <c r="K58" i="10" s="1"/>
  <c r="J57" i="10"/>
  <c r="K57" i="10" s="1"/>
  <c r="J56" i="10"/>
  <c r="K56" i="10" s="1"/>
  <c r="J55" i="10"/>
  <c r="K55" i="10" s="1"/>
  <c r="J54" i="10"/>
  <c r="K54" i="10" s="1"/>
  <c r="J53" i="10"/>
  <c r="K53" i="10" s="1"/>
  <c r="J52" i="10"/>
  <c r="K52" i="10" s="1"/>
  <c r="J51" i="10"/>
  <c r="K51" i="10" s="1"/>
  <c r="J50" i="10"/>
  <c r="K50" i="10" s="1"/>
  <c r="J49" i="10"/>
  <c r="K49" i="10" s="1"/>
  <c r="J48" i="10"/>
  <c r="K48" i="10" s="1"/>
  <c r="J47" i="10"/>
  <c r="K47" i="10" s="1"/>
  <c r="J46" i="10"/>
  <c r="K46" i="10" s="1"/>
  <c r="H7" i="10"/>
  <c r="H17" i="10"/>
  <c r="H35" i="10"/>
  <c r="H40" i="10"/>
  <c r="H61" i="10"/>
  <c r="G86" i="10"/>
  <c r="G87" i="10"/>
  <c r="G88" i="10"/>
  <c r="G89" i="10"/>
  <c r="G90" i="10"/>
  <c r="G91" i="10"/>
  <c r="H91" i="10" s="1"/>
  <c r="G92" i="10"/>
  <c r="F82" i="12"/>
  <c r="G82" i="12" s="1"/>
  <c r="I83" i="12"/>
  <c r="F78" i="12"/>
  <c r="G78" i="12" s="1"/>
  <c r="I78" i="12"/>
  <c r="F80" i="12"/>
  <c r="G80" i="12" s="1"/>
  <c r="B85" i="16" l="1"/>
  <c r="C85" i="16" s="1"/>
  <c r="D85" i="16" s="1"/>
  <c r="B50" i="16"/>
  <c r="G65" i="44" s="1"/>
  <c r="H85" i="16"/>
  <c r="I85" i="16" s="1"/>
  <c r="J71" i="14"/>
  <c r="K71" i="14" s="1"/>
  <c r="J89" i="14"/>
  <c r="K89" i="14" s="1"/>
  <c r="J23" i="14"/>
  <c r="K23" i="14" s="1"/>
  <c r="F5" i="12"/>
  <c r="G5" i="12" s="1"/>
  <c r="F42" i="12"/>
  <c r="G42" i="12" s="1"/>
  <c r="F54" i="12"/>
  <c r="G54" i="12" s="1"/>
  <c r="F77" i="12"/>
  <c r="G77" i="12" s="1"/>
  <c r="I54" i="12"/>
  <c r="I53" i="12"/>
  <c r="I48" i="12"/>
  <c r="H41" i="10"/>
  <c r="J21" i="14"/>
  <c r="K21" i="14" s="1"/>
  <c r="J61" i="14"/>
  <c r="K61" i="14" s="1"/>
  <c r="J9" i="14"/>
  <c r="K9" i="14" s="1"/>
  <c r="J77" i="14"/>
  <c r="K77" i="14" s="1"/>
  <c r="E35" i="44"/>
  <c r="I35" i="44" s="1"/>
  <c r="J78" i="14"/>
  <c r="K78" i="14" s="1"/>
  <c r="E47" i="44"/>
  <c r="J83" i="14"/>
  <c r="K83" i="14" s="1"/>
  <c r="J16" i="14"/>
  <c r="K16" i="14" s="1"/>
  <c r="J41" i="14"/>
  <c r="K41" i="14" s="1"/>
  <c r="J14" i="14"/>
  <c r="K14" i="14" s="1"/>
  <c r="J45" i="14"/>
  <c r="K45" i="14" s="1"/>
  <c r="J62" i="14"/>
  <c r="K62" i="14" s="1"/>
  <c r="J50" i="14"/>
  <c r="K50" i="14" s="1"/>
  <c r="J65" i="14"/>
  <c r="K65" i="14" s="1"/>
  <c r="J52" i="14"/>
  <c r="K52" i="14" s="1"/>
  <c r="J54" i="14"/>
  <c r="K54" i="14" s="1"/>
  <c r="J94" i="14"/>
  <c r="K94" i="14" s="1"/>
  <c r="J30" i="14"/>
  <c r="K30" i="14" s="1"/>
  <c r="E67" i="44"/>
  <c r="J80" i="14"/>
  <c r="K80" i="14" s="1"/>
  <c r="J20" i="14"/>
  <c r="K20" i="14" s="1"/>
  <c r="E78" i="44"/>
  <c r="J59" i="14"/>
  <c r="K59" i="14" s="1"/>
  <c r="J81" i="14"/>
  <c r="K81" i="14" s="1"/>
  <c r="E79" i="44"/>
  <c r="J29" i="14"/>
  <c r="K29" i="14" s="1"/>
  <c r="E82" i="44"/>
  <c r="J32" i="14"/>
  <c r="K32" i="14" s="1"/>
  <c r="J33" i="14"/>
  <c r="K33" i="14" s="1"/>
  <c r="J17" i="14"/>
  <c r="K17" i="14" s="1"/>
  <c r="E45" i="44"/>
  <c r="I77" i="12"/>
  <c r="I56" i="12"/>
  <c r="F43" i="12"/>
  <c r="G43" i="12" s="1"/>
  <c r="I79" i="12"/>
  <c r="I41" i="12"/>
  <c r="F79" i="12"/>
  <c r="G79" i="12" s="1"/>
  <c r="F53" i="12"/>
  <c r="G53" i="12" s="1"/>
  <c r="F56" i="12"/>
  <c r="G56" i="12" s="1"/>
  <c r="I20" i="12"/>
  <c r="F67" i="12"/>
  <c r="G67" i="12" s="1"/>
  <c r="I67" i="12"/>
  <c r="I65" i="12"/>
  <c r="I21" i="12"/>
  <c r="F45" i="12"/>
  <c r="G45" i="12" s="1"/>
  <c r="I57" i="12"/>
  <c r="I18" i="12"/>
  <c r="I12" i="12"/>
  <c r="I6" i="12"/>
  <c r="I81" i="12"/>
  <c r="F81" i="12"/>
  <c r="G81" i="12" s="1"/>
  <c r="F88" i="12"/>
  <c r="G88" i="12" s="1"/>
  <c r="I88" i="12"/>
  <c r="F12" i="12"/>
  <c r="G12" i="12" s="1"/>
  <c r="F57" i="12"/>
  <c r="G57" i="12" s="1"/>
  <c r="I45" i="12"/>
  <c r="F21" i="12"/>
  <c r="G21" i="12" s="1"/>
  <c r="F24" i="12"/>
  <c r="G24" i="12" s="1"/>
  <c r="I69" i="12"/>
  <c r="I36" i="12"/>
  <c r="F36" i="12"/>
  <c r="G36" i="12" s="1"/>
  <c r="I24" i="12"/>
  <c r="H28" i="10"/>
  <c r="H27" i="10"/>
  <c r="E16" i="10"/>
  <c r="F16" i="10" s="1"/>
  <c r="B17" i="44"/>
  <c r="H76" i="10"/>
  <c r="E76" i="10"/>
  <c r="F76" i="10" s="1"/>
  <c r="H64" i="10"/>
  <c r="H63" i="10"/>
  <c r="E64" i="10"/>
  <c r="F64" i="10" s="1"/>
  <c r="E91" i="10"/>
  <c r="F91" i="10" s="1"/>
  <c r="H52" i="10"/>
  <c r="E28" i="10"/>
  <c r="F28" i="10" s="1"/>
  <c r="E53" i="10"/>
  <c r="F53" i="10" s="1"/>
  <c r="F31" i="12"/>
  <c r="G31" i="12" s="1"/>
  <c r="I7" i="12"/>
  <c r="F68" i="12"/>
  <c r="G68" i="12" s="1"/>
  <c r="I46" i="12"/>
  <c r="D96" i="44"/>
  <c r="F32" i="12"/>
  <c r="G32" i="12" s="1"/>
  <c r="I80" i="12"/>
  <c r="I68" i="12"/>
  <c r="F10" i="12"/>
  <c r="G10" i="12" s="1"/>
  <c r="F46" i="12"/>
  <c r="G46" i="12" s="1"/>
  <c r="I32" i="12"/>
  <c r="F20" i="12"/>
  <c r="G20" i="12" s="1"/>
  <c r="I58" i="12"/>
  <c r="F47" i="12"/>
  <c r="G47" i="12" s="1"/>
  <c r="F70" i="12"/>
  <c r="G70" i="12" s="1"/>
  <c r="I47" i="12"/>
  <c r="F28" i="12"/>
  <c r="G28" i="12" s="1"/>
  <c r="F60" i="12"/>
  <c r="G60" i="12" s="1"/>
  <c r="F63" i="12"/>
  <c r="G63" i="12" s="1"/>
  <c r="I22" i="12"/>
  <c r="F11" i="12"/>
  <c r="G11" i="12" s="1"/>
  <c r="I70" i="12"/>
  <c r="I49" i="12"/>
  <c r="I5" i="12"/>
  <c r="F83" i="12"/>
  <c r="G83" i="12" s="1"/>
  <c r="F22" i="12"/>
  <c r="G22" i="12" s="1"/>
  <c r="F58" i="12"/>
  <c r="G58" i="12" s="1"/>
  <c r="I25" i="12"/>
  <c r="I84" i="12"/>
  <c r="I39" i="12"/>
  <c r="F49" i="12"/>
  <c r="G49" i="12" s="1"/>
  <c r="I72" i="12"/>
  <c r="I16" i="12"/>
  <c r="I60" i="12"/>
  <c r="I37" i="12"/>
  <c r="F35" i="12"/>
  <c r="G35" i="12" s="1"/>
  <c r="F52" i="12"/>
  <c r="G52" i="12" s="1"/>
  <c r="F92" i="12"/>
  <c r="G92" i="12" s="1"/>
  <c r="F15" i="12"/>
  <c r="G15" i="12" s="1"/>
  <c r="I35" i="12"/>
  <c r="I11" i="12"/>
  <c r="F25" i="12"/>
  <c r="G25" i="12" s="1"/>
  <c r="F16" i="12"/>
  <c r="G16" i="12" s="1"/>
  <c r="F37" i="12"/>
  <c r="G37" i="12" s="1"/>
  <c r="F72" i="12"/>
  <c r="G72" i="12" s="1"/>
  <c r="I52" i="12"/>
  <c r="F39" i="12"/>
  <c r="G39" i="12" s="1"/>
  <c r="I51" i="12"/>
  <c r="F41" i="12"/>
  <c r="G41" i="12" s="1"/>
  <c r="I28" i="12"/>
  <c r="H53" i="10"/>
  <c r="H5" i="10"/>
  <c r="E41" i="10"/>
  <c r="F41" i="10" s="1"/>
  <c r="H87" i="10"/>
  <c r="E94" i="10"/>
  <c r="F94" i="10" s="1"/>
  <c r="H77" i="10"/>
  <c r="H31" i="10"/>
  <c r="E77" i="10"/>
  <c r="F77" i="10" s="1"/>
  <c r="E5" i="10"/>
  <c r="F5" i="10" s="1"/>
  <c r="B104" i="44"/>
  <c r="E104" i="10"/>
  <c r="F104" i="10" s="1"/>
  <c r="B86" i="44"/>
  <c r="H29" i="10"/>
  <c r="B92" i="44"/>
  <c r="B73" i="44"/>
  <c r="B43" i="44"/>
  <c r="I43" i="44" s="1"/>
  <c r="H100" i="10"/>
  <c r="H59" i="10"/>
  <c r="H9" i="10"/>
  <c r="B85" i="44"/>
  <c r="H55" i="10"/>
  <c r="E42" i="10"/>
  <c r="F42" i="10" s="1"/>
  <c r="B7" i="44"/>
  <c r="I7" i="44" s="1"/>
  <c r="E85" i="10"/>
  <c r="F85" i="10" s="1"/>
  <c r="B54" i="44"/>
  <c r="H79" i="10"/>
  <c r="H6" i="10"/>
  <c r="H78" i="10"/>
  <c r="H54" i="10"/>
  <c r="B42" i="44"/>
  <c r="I42" i="44" s="1"/>
  <c r="E79" i="10"/>
  <c r="F79" i="10" s="1"/>
  <c r="E30" i="10"/>
  <c r="F30" i="10" s="1"/>
  <c r="E87" i="10"/>
  <c r="F87" i="10" s="1"/>
  <c r="H23" i="10"/>
  <c r="B30" i="44"/>
  <c r="I30" i="44" s="1"/>
  <c r="E71" i="10"/>
  <c r="F71" i="10" s="1"/>
  <c r="H71" i="10"/>
  <c r="H47" i="10"/>
  <c r="H19" i="10"/>
  <c r="E18" i="10"/>
  <c r="F18" i="10" s="1"/>
  <c r="E55" i="10"/>
  <c r="F55" i="10" s="1"/>
  <c r="B18" i="44"/>
  <c r="B101" i="44"/>
  <c r="H67" i="10"/>
  <c r="H43" i="10"/>
  <c r="H66" i="10"/>
  <c r="E78" i="10"/>
  <c r="F78" i="10" s="1"/>
  <c r="E6" i="10"/>
  <c r="F6" i="10" s="1"/>
  <c r="E29" i="10"/>
  <c r="F29" i="10" s="1"/>
  <c r="E47" i="10"/>
  <c r="F47" i="10" s="1"/>
  <c r="H86" i="10"/>
  <c r="H11" i="10"/>
  <c r="E41" i="44"/>
  <c r="I41" i="44" s="1"/>
  <c r="B94" i="44"/>
  <c r="H25" i="10"/>
  <c r="F14" i="12"/>
  <c r="G14" i="12" s="1"/>
  <c r="F27" i="12"/>
  <c r="G27" i="12" s="1"/>
  <c r="I38" i="12"/>
  <c r="E73" i="10"/>
  <c r="F73" i="10" s="1"/>
  <c r="E49" i="10"/>
  <c r="F49" i="10" s="1"/>
  <c r="D97" i="44"/>
  <c r="E77" i="44"/>
  <c r="E17" i="44"/>
  <c r="F29" i="12"/>
  <c r="G29" i="12" s="1"/>
  <c r="E72" i="10"/>
  <c r="F72" i="10" s="1"/>
  <c r="E18" i="44"/>
  <c r="F26" i="12"/>
  <c r="G26" i="12" s="1"/>
  <c r="E90" i="10"/>
  <c r="F90" i="10" s="1"/>
  <c r="H57" i="10"/>
  <c r="F4" i="12"/>
  <c r="G4" i="12" s="1"/>
  <c r="F18" i="12"/>
  <c r="G18" i="12" s="1"/>
  <c r="F61" i="12"/>
  <c r="G61" i="12" s="1"/>
  <c r="I62" i="12"/>
  <c r="I17" i="12"/>
  <c r="J70" i="14"/>
  <c r="K70" i="14" s="1"/>
  <c r="B100" i="44"/>
  <c r="B59" i="16"/>
  <c r="B55" i="16"/>
  <c r="G70" i="44" s="1"/>
  <c r="I70" i="44" s="1"/>
  <c r="E21" i="44"/>
  <c r="E53" i="44"/>
  <c r="I53" i="44" s="1"/>
  <c r="I50" i="12"/>
  <c r="E69" i="10"/>
  <c r="F69" i="10" s="1"/>
  <c r="E21" i="10"/>
  <c r="F21" i="10" s="1"/>
  <c r="F76" i="12"/>
  <c r="G76" i="12" s="1"/>
  <c r="F74" i="12"/>
  <c r="G74" i="12" s="1"/>
  <c r="F19" i="12"/>
  <c r="G19" i="12" s="1"/>
  <c r="F62" i="12"/>
  <c r="G62" i="12" s="1"/>
  <c r="I61" i="12"/>
  <c r="I85" i="12"/>
  <c r="B58" i="16"/>
  <c r="G73" i="44" s="1"/>
  <c r="E54" i="44"/>
  <c r="E89" i="44"/>
  <c r="H45" i="10"/>
  <c r="H90" i="10"/>
  <c r="E82" i="10"/>
  <c r="F82" i="10" s="1"/>
  <c r="B82" i="44"/>
  <c r="H92" i="10"/>
  <c r="I4" i="12"/>
  <c r="F6" i="12"/>
  <c r="G6" i="12" s="1"/>
  <c r="I74" i="12"/>
  <c r="I31" i="12"/>
  <c r="I15" i="12"/>
  <c r="F86" i="12"/>
  <c r="G86" i="12" s="1"/>
  <c r="E61" i="10"/>
  <c r="F61" i="10" s="1"/>
  <c r="E37" i="10"/>
  <c r="F37" i="10" s="1"/>
  <c r="E13" i="10"/>
  <c r="F13" i="10" s="1"/>
  <c r="E67" i="10"/>
  <c r="F67" i="10" s="1"/>
  <c r="E19" i="10"/>
  <c r="F19" i="10" s="1"/>
  <c r="E29" i="44"/>
  <c r="I29" i="44" s="1"/>
  <c r="H21" i="10"/>
  <c r="I76" i="12"/>
  <c r="F17" i="12"/>
  <c r="G17" i="12" s="1"/>
  <c r="H33" i="10"/>
  <c r="H69" i="10"/>
  <c r="H13" i="10"/>
  <c r="F7" i="12"/>
  <c r="G7" i="12" s="1"/>
  <c r="F50" i="12"/>
  <c r="G50" i="12" s="1"/>
  <c r="F65" i="12"/>
  <c r="G65" i="12" s="1"/>
  <c r="I14" i="12"/>
  <c r="I86" i="12"/>
  <c r="B37" i="44"/>
  <c r="E65" i="44"/>
  <c r="I65" i="44" s="1"/>
  <c r="D101" i="44"/>
  <c r="B45" i="44"/>
  <c r="E93" i="10"/>
  <c r="F93" i="10" s="1"/>
  <c r="F8" i="12"/>
  <c r="G8" i="12" s="1"/>
  <c r="F51" i="12"/>
  <c r="G51" i="12" s="1"/>
  <c r="I43" i="12"/>
  <c r="I27" i="12"/>
  <c r="E57" i="10"/>
  <c r="F57" i="10" s="1"/>
  <c r="E33" i="10"/>
  <c r="F33" i="10" s="1"/>
  <c r="E9" i="10"/>
  <c r="F9" i="10" s="1"/>
  <c r="E59" i="10"/>
  <c r="F59" i="10" s="1"/>
  <c r="E66" i="44"/>
  <c r="H93" i="10"/>
  <c r="H48" i="10"/>
  <c r="F38" i="12"/>
  <c r="G38" i="12" s="1"/>
  <c r="I42" i="12"/>
  <c r="I26" i="12"/>
  <c r="E36" i="10"/>
  <c r="F36" i="10" s="1"/>
  <c r="J47" i="14"/>
  <c r="K47" i="14" s="1"/>
  <c r="B51" i="16"/>
  <c r="E34" i="44"/>
  <c r="E101" i="44"/>
  <c r="H54" i="16"/>
  <c r="I54" i="16" s="1"/>
  <c r="B57" i="16"/>
  <c r="J60" i="14"/>
  <c r="K60" i="14" s="1"/>
  <c r="J36" i="14"/>
  <c r="K36" i="14" s="1"/>
  <c r="E22" i="44"/>
  <c r="I22" i="44" s="1"/>
  <c r="E44" i="44"/>
  <c r="I44" i="44" s="1"/>
  <c r="J92" i="14"/>
  <c r="K92" i="14" s="1"/>
  <c r="E68" i="44"/>
  <c r="J18" i="14"/>
  <c r="K18" i="14" s="1"/>
  <c r="J42" i="14"/>
  <c r="K42" i="14" s="1"/>
  <c r="J66" i="14"/>
  <c r="K66" i="14" s="1"/>
  <c r="J84" i="14"/>
  <c r="K84" i="14" s="1"/>
  <c r="J22" i="14"/>
  <c r="K22" i="14" s="1"/>
  <c r="J90" i="14"/>
  <c r="K90" i="14" s="1"/>
  <c r="E103" i="44"/>
  <c r="J6" i="14"/>
  <c r="K6" i="14" s="1"/>
  <c r="J46" i="14"/>
  <c r="K46" i="14" s="1"/>
  <c r="J48" i="14"/>
  <c r="K48" i="14" s="1"/>
  <c r="J10" i="14"/>
  <c r="K10" i="14" s="1"/>
  <c r="I82" i="12"/>
  <c r="F34" i="12"/>
  <c r="G34" i="12" s="1"/>
  <c r="I44" i="12"/>
  <c r="F73" i="12"/>
  <c r="G73" i="12" s="1"/>
  <c r="I55" i="12"/>
  <c r="F23" i="12"/>
  <c r="G23" i="12" s="1"/>
  <c r="I13" i="12"/>
  <c r="F13" i="12"/>
  <c r="G13" i="12" s="1"/>
  <c r="F64" i="12"/>
  <c r="G64" i="12" s="1"/>
  <c r="I64" i="12"/>
  <c r="I23" i="12"/>
  <c r="D102" i="44"/>
  <c r="F55" i="12"/>
  <c r="G55" i="12" s="1"/>
  <c r="I73" i="12"/>
  <c r="F44" i="12"/>
  <c r="G44" i="12" s="1"/>
  <c r="I34" i="12"/>
  <c r="E88" i="10"/>
  <c r="F88" i="10" s="1"/>
  <c r="B72" i="44"/>
  <c r="B36" i="44"/>
  <c r="I36" i="44" s="1"/>
  <c r="H12" i="10"/>
  <c r="B15" i="44"/>
  <c r="I15" i="44" s="1"/>
  <c r="H60" i="10"/>
  <c r="E60" i="10"/>
  <c r="F60" i="10" s="1"/>
  <c r="E24" i="10"/>
  <c r="F24" i="10" s="1"/>
  <c r="H24" i="10"/>
  <c r="E101" i="10"/>
  <c r="F101" i="10" s="1"/>
  <c r="H98" i="10"/>
  <c r="E48" i="10"/>
  <c r="F48" i="10" s="1"/>
  <c r="H88" i="10"/>
  <c r="E38" i="10"/>
  <c r="F38" i="10" s="1"/>
  <c r="E84" i="10"/>
  <c r="F84" i="10" s="1"/>
  <c r="H39" i="10"/>
  <c r="B74" i="44"/>
  <c r="B38" i="44"/>
  <c r="I38" i="44" s="1"/>
  <c r="B51" i="44"/>
  <c r="I51" i="44" s="1"/>
  <c r="B84" i="44"/>
  <c r="H80" i="10"/>
  <c r="H26" i="10"/>
  <c r="E74" i="10"/>
  <c r="F74" i="10" s="1"/>
  <c r="H51" i="10"/>
  <c r="E75" i="10"/>
  <c r="F75" i="10" s="1"/>
  <c r="H50" i="10"/>
  <c r="E62" i="10"/>
  <c r="F62" i="10" s="1"/>
  <c r="E26" i="10"/>
  <c r="F26" i="10" s="1"/>
  <c r="B75" i="44"/>
  <c r="B98" i="44"/>
  <c r="B99" i="44"/>
  <c r="E81" i="10"/>
  <c r="F81" i="10" s="1"/>
  <c r="H62" i="10"/>
  <c r="B81" i="44"/>
  <c r="E50" i="10"/>
  <c r="F50" i="10" s="1"/>
  <c r="E14" i="10"/>
  <c r="F14" i="10" s="1"/>
  <c r="B27" i="44"/>
  <c r="I27" i="44" s="1"/>
  <c r="E102" i="10"/>
  <c r="F102" i="10" s="1"/>
  <c r="H15" i="10"/>
  <c r="B14" i="44"/>
  <c r="I14" i="44" s="1"/>
  <c r="H83" i="10"/>
  <c r="E8" i="10"/>
  <c r="F8" i="10" s="1"/>
  <c r="B97" i="44"/>
  <c r="E83" i="10"/>
  <c r="F83" i="10" s="1"/>
  <c r="B8" i="44"/>
  <c r="I8" i="44" s="1"/>
  <c r="E80" i="10"/>
  <c r="F80" i="10" s="1"/>
  <c r="E56" i="10"/>
  <c r="F56" i="10" s="1"/>
  <c r="E32" i="10"/>
  <c r="F32" i="10" s="1"/>
  <c r="B102" i="44"/>
  <c r="B56" i="44"/>
  <c r="I56" i="44" s="1"/>
  <c r="B32" i="44"/>
  <c r="I32" i="44" s="1"/>
  <c r="E11" i="10"/>
  <c r="F11" i="10" s="1"/>
  <c r="H20" i="10"/>
  <c r="E95" i="10"/>
  <c r="F95" i="10" s="1"/>
  <c r="B95" i="44"/>
  <c r="H44" i="10"/>
  <c r="E35" i="10"/>
  <c r="F35" i="10" s="1"/>
  <c r="E68" i="10"/>
  <c r="F68" i="10" s="1"/>
  <c r="E44" i="10"/>
  <c r="F44" i="10" s="1"/>
  <c r="E20" i="10"/>
  <c r="F20" i="10" s="1"/>
  <c r="H68" i="10"/>
  <c r="I19" i="44"/>
  <c r="I40" i="12"/>
  <c r="F91" i="12"/>
  <c r="G91" i="12" s="1"/>
  <c r="D103" i="44"/>
  <c r="F59" i="12"/>
  <c r="G59" i="12" s="1"/>
  <c r="I75" i="12"/>
  <c r="I59" i="12"/>
  <c r="I10" i="12"/>
  <c r="F75" i="12"/>
  <c r="G75" i="12" s="1"/>
  <c r="F40" i="12"/>
  <c r="G40" i="12" s="1"/>
  <c r="I9" i="12"/>
  <c r="I8" i="12"/>
  <c r="F30" i="12"/>
  <c r="G30" i="12" s="1"/>
  <c r="I19" i="12"/>
  <c r="F9" i="12"/>
  <c r="G9" i="12" s="1"/>
  <c r="I30" i="12"/>
  <c r="I29" i="12"/>
  <c r="B77" i="16"/>
  <c r="G92" i="44" s="1"/>
  <c r="O77" i="16"/>
  <c r="P77" i="16" s="1"/>
  <c r="B63" i="16"/>
  <c r="C63" i="16" s="1"/>
  <c r="D63" i="16" s="1"/>
  <c r="O63" i="16"/>
  <c r="P63" i="16" s="1"/>
  <c r="B53" i="16"/>
  <c r="C53" i="16" s="1"/>
  <c r="D53" i="16" s="1"/>
  <c r="C55" i="16"/>
  <c r="D55" i="16" s="1"/>
  <c r="B52" i="16"/>
  <c r="B72" i="16"/>
  <c r="B79" i="16"/>
  <c r="G94" i="44" s="1"/>
  <c r="B76" i="16"/>
  <c r="B61" i="16"/>
  <c r="C58" i="16"/>
  <c r="D58" i="16" s="1"/>
  <c r="B74" i="16"/>
  <c r="B69" i="16"/>
  <c r="G84" i="44" s="1"/>
  <c r="J64" i="14"/>
  <c r="K64" i="14" s="1"/>
  <c r="J75" i="14"/>
  <c r="K75" i="14" s="1"/>
  <c r="J26" i="14"/>
  <c r="K26" i="14" s="1"/>
  <c r="J76" i="14"/>
  <c r="K76" i="14" s="1"/>
  <c r="J51" i="14"/>
  <c r="K51" i="14" s="1"/>
  <c r="J63" i="14"/>
  <c r="K63" i="14" s="1"/>
  <c r="J86" i="14"/>
  <c r="K86" i="14" s="1"/>
  <c r="J87" i="14"/>
  <c r="K87" i="14" s="1"/>
  <c r="J28" i="14"/>
  <c r="K28" i="14" s="1"/>
  <c r="J88" i="14"/>
  <c r="K88" i="14" s="1"/>
  <c r="E48" i="44"/>
  <c r="I48" i="44" s="1"/>
  <c r="E25" i="44"/>
  <c r="I25" i="44" s="1"/>
  <c r="E37" i="44"/>
  <c r="E49" i="44"/>
  <c r="I49" i="44" s="1"/>
  <c r="E50" i="44"/>
  <c r="I50" i="44" s="1"/>
  <c r="I52" i="44"/>
  <c r="I28" i="44"/>
  <c r="F90" i="12"/>
  <c r="G90" i="12" s="1"/>
  <c r="I33" i="44"/>
  <c r="F89" i="12"/>
  <c r="G89" i="12" s="1"/>
  <c r="I40" i="44"/>
  <c r="I16" i="44"/>
  <c r="I60" i="44"/>
  <c r="E58" i="10"/>
  <c r="F58" i="10" s="1"/>
  <c r="E34" i="10"/>
  <c r="F34" i="10" s="1"/>
  <c r="E10" i="10"/>
  <c r="F10" i="10" s="1"/>
  <c r="B58" i="44"/>
  <c r="I58" i="44" s="1"/>
  <c r="B34" i="44"/>
  <c r="B10" i="44"/>
  <c r="I10" i="44" s="1"/>
  <c r="E97" i="10"/>
  <c r="F97" i="10" s="1"/>
  <c r="E103" i="10"/>
  <c r="F103" i="10" s="1"/>
  <c r="B103" i="44"/>
  <c r="H70" i="10"/>
  <c r="H46" i="10"/>
  <c r="H22" i="10"/>
  <c r="E23" i="10"/>
  <c r="F23" i="10" s="1"/>
  <c r="H96" i="10"/>
  <c r="E96" i="10"/>
  <c r="F96" i="10" s="1"/>
  <c r="H89" i="10"/>
  <c r="E70" i="10"/>
  <c r="F70" i="10" s="1"/>
  <c r="E46" i="10"/>
  <c r="F46" i="10" s="1"/>
  <c r="E22" i="10"/>
  <c r="F22" i="10" s="1"/>
  <c r="E12" i="10"/>
  <c r="F12" i="10" s="1"/>
  <c r="E89" i="10"/>
  <c r="F89" i="10" s="1"/>
  <c r="E63" i="10"/>
  <c r="F63" i="10" s="1"/>
  <c r="E39" i="10"/>
  <c r="F39" i="10" s="1"/>
  <c r="H99" i="10"/>
  <c r="I61" i="44"/>
  <c r="I39" i="44"/>
  <c r="I64" i="44"/>
  <c r="I20" i="44"/>
  <c r="I62" i="44"/>
  <c r="I23" i="44"/>
  <c r="I21" i="44"/>
  <c r="I57" i="44"/>
  <c r="I47" i="44"/>
  <c r="I59" i="44"/>
  <c r="I24" i="44"/>
  <c r="I26" i="44"/>
  <c r="I63" i="44"/>
  <c r="I46" i="44"/>
  <c r="I31" i="44"/>
  <c r="I55" i="44"/>
  <c r="B83" i="16"/>
  <c r="O83" i="16"/>
  <c r="P83" i="16" s="1"/>
  <c r="O64" i="16"/>
  <c r="P64" i="16" s="1"/>
  <c r="B64" i="16"/>
  <c r="B88" i="16"/>
  <c r="O88" i="16"/>
  <c r="P88" i="16" s="1"/>
  <c r="B71" i="16"/>
  <c r="O71" i="16"/>
  <c r="P71" i="16" s="1"/>
  <c r="G78" i="44"/>
  <c r="O80" i="16"/>
  <c r="P80" i="16" s="1"/>
  <c r="B80" i="16"/>
  <c r="O75" i="16"/>
  <c r="P75" i="16" s="1"/>
  <c r="B75" i="16"/>
  <c r="G100" i="44"/>
  <c r="B82" i="16"/>
  <c r="O78" i="16"/>
  <c r="P78" i="16" s="1"/>
  <c r="B78" i="16"/>
  <c r="O66" i="16"/>
  <c r="P66" i="16" s="1"/>
  <c r="B66" i="16"/>
  <c r="C77" i="16"/>
  <c r="D77" i="16" s="1"/>
  <c r="C50" i="16"/>
  <c r="D50" i="16" s="1"/>
  <c r="B84" i="16"/>
  <c r="B86" i="16"/>
  <c r="H69" i="16"/>
  <c r="I69" i="16" s="1"/>
  <c r="H82" i="16"/>
  <c r="I82" i="16" s="1"/>
  <c r="B87" i="16"/>
  <c r="B67" i="16"/>
  <c r="B56" i="16"/>
  <c r="G69" i="44"/>
  <c r="I69" i="44" s="1"/>
  <c r="B73" i="16"/>
  <c r="B62" i="16"/>
  <c r="B68" i="16"/>
  <c r="B81" i="16"/>
  <c r="B70" i="16"/>
  <c r="B65" i="16"/>
  <c r="B60" i="16"/>
  <c r="I54" i="44" l="1"/>
  <c r="I78" i="44"/>
  <c r="I45" i="44"/>
  <c r="I17" i="44"/>
  <c r="I18" i="44"/>
  <c r="I73" i="44"/>
  <c r="I92" i="44"/>
  <c r="I94" i="44"/>
  <c r="I100" i="44"/>
  <c r="I34" i="44"/>
  <c r="C79" i="16"/>
  <c r="D79" i="16" s="1"/>
  <c r="C69" i="16"/>
  <c r="D69" i="16" s="1"/>
  <c r="I37" i="44"/>
  <c r="G66" i="44"/>
  <c r="I66" i="44" s="1"/>
  <c r="C51" i="16"/>
  <c r="D51" i="16" s="1"/>
  <c r="G74" i="44"/>
  <c r="I74" i="44" s="1"/>
  <c r="C59" i="16"/>
  <c r="D59" i="16" s="1"/>
  <c r="G68" i="44"/>
  <c r="I68" i="44" s="1"/>
  <c r="G72" i="44"/>
  <c r="I72" i="44" s="1"/>
  <c r="C57" i="16"/>
  <c r="D57" i="16" s="1"/>
  <c r="I84" i="44"/>
  <c r="C76" i="16"/>
  <c r="D76" i="16" s="1"/>
  <c r="G91" i="44"/>
  <c r="I91" i="44" s="1"/>
  <c r="C72" i="16"/>
  <c r="D72" i="16" s="1"/>
  <c r="G87" i="44"/>
  <c r="I87" i="44" s="1"/>
  <c r="C52" i="16"/>
  <c r="D52" i="16" s="1"/>
  <c r="G67" i="44"/>
  <c r="I67" i="44" s="1"/>
  <c r="G76" i="44"/>
  <c r="I76" i="44" s="1"/>
  <c r="C61" i="16"/>
  <c r="D61" i="16" s="1"/>
  <c r="G89" i="44"/>
  <c r="I89" i="44" s="1"/>
  <c r="C74" i="16"/>
  <c r="D74" i="16" s="1"/>
  <c r="G98" i="44"/>
  <c r="I98" i="44" s="1"/>
  <c r="C83" i="16"/>
  <c r="D83" i="16" s="1"/>
  <c r="C56" i="16"/>
  <c r="D56" i="16" s="1"/>
  <c r="G71" i="44"/>
  <c r="I71" i="44" s="1"/>
  <c r="C66" i="16"/>
  <c r="D66" i="16" s="1"/>
  <c r="G81" i="44"/>
  <c r="I81" i="44" s="1"/>
  <c r="C73" i="16"/>
  <c r="D73" i="16" s="1"/>
  <c r="G88" i="44"/>
  <c r="I88" i="44" s="1"/>
  <c r="G96" i="44"/>
  <c r="I96" i="44" s="1"/>
  <c r="C81" i="16"/>
  <c r="D81" i="16" s="1"/>
  <c r="C75" i="16"/>
  <c r="D75" i="16" s="1"/>
  <c r="G90" i="44"/>
  <c r="I90" i="44" s="1"/>
  <c r="C64" i="16"/>
  <c r="D64" i="16" s="1"/>
  <c r="G79" i="44"/>
  <c r="I79" i="44" s="1"/>
  <c r="G82" i="44"/>
  <c r="I82" i="44" s="1"/>
  <c r="C67" i="16"/>
  <c r="D67" i="16" s="1"/>
  <c r="G86" i="44"/>
  <c r="I86" i="44" s="1"/>
  <c r="C71" i="16"/>
  <c r="D71" i="16" s="1"/>
  <c r="G93" i="44"/>
  <c r="I93" i="44" s="1"/>
  <c r="C78" i="16"/>
  <c r="D78" i="16" s="1"/>
  <c r="G102" i="44"/>
  <c r="I102" i="44" s="1"/>
  <c r="C87" i="16"/>
  <c r="D87" i="16" s="1"/>
  <c r="C60" i="16"/>
  <c r="D60" i="16" s="1"/>
  <c r="G75" i="44"/>
  <c r="I75" i="44" s="1"/>
  <c r="G97" i="44"/>
  <c r="I97" i="44" s="1"/>
  <c r="C82" i="16"/>
  <c r="D82" i="16" s="1"/>
  <c r="C65" i="16"/>
  <c r="D65" i="16" s="1"/>
  <c r="G80" i="44"/>
  <c r="I80" i="44" s="1"/>
  <c r="G85" i="44"/>
  <c r="I85" i="44" s="1"/>
  <c r="C70" i="16"/>
  <c r="D70" i="16" s="1"/>
  <c r="G101" i="44"/>
  <c r="I101" i="44" s="1"/>
  <c r="C86" i="16"/>
  <c r="D86" i="16" s="1"/>
  <c r="G103" i="44"/>
  <c r="I103" i="44" s="1"/>
  <c r="C88" i="16"/>
  <c r="D88" i="16" s="1"/>
  <c r="C84" i="16"/>
  <c r="D84" i="16" s="1"/>
  <c r="G99" i="44"/>
  <c r="I99" i="44" s="1"/>
  <c r="C68" i="16"/>
  <c r="D68" i="16" s="1"/>
  <c r="G83" i="44"/>
  <c r="I83" i="44" s="1"/>
  <c r="C62" i="16"/>
  <c r="D62" i="16" s="1"/>
  <c r="G77" i="44"/>
  <c r="I77" i="44" s="1"/>
  <c r="G95" i="44"/>
  <c r="I95" i="44" s="1"/>
  <c r="C80" i="16"/>
  <c r="D80" i="16" s="1"/>
</calcChain>
</file>

<file path=xl/sharedStrings.xml><?xml version="1.0" encoding="utf-8"?>
<sst xmlns="http://schemas.openxmlformats.org/spreadsheetml/2006/main" count="277" uniqueCount="155">
  <si>
    <t>Cigarette Tax</t>
  </si>
  <si>
    <t xml:space="preserve">Tobacco Tax </t>
  </si>
  <si>
    <t>Year</t>
  </si>
  <si>
    <t>Notes</t>
  </si>
  <si>
    <t>3,4</t>
  </si>
  <si>
    <t>Real numbers are based on using the CPI and population of the previous year.</t>
  </si>
  <si>
    <t>Prior to 1982, the tax was collected by another agency.</t>
  </si>
  <si>
    <t>The CPI base period for real numbers: 1982 to 1984 = 100.</t>
  </si>
  <si>
    <t>The CPI base period for real numbers: 1982 to 1984 = 100.  p=preliminary.</t>
  </si>
  <si>
    <t>$11 effective Jul 1, 1983.</t>
  </si>
  <si>
    <t>$4.12 effective Jul 1, 1981.</t>
  </si>
  <si>
    <t>$3.10 effective Jul 1, 1971.</t>
  </si>
  <si>
    <t>$1.10 effective May 8, 1945.</t>
  </si>
  <si>
    <t>80¢ effective Mar 25, 1935.</t>
  </si>
  <si>
    <t>Tax enacted on Jan 1, 1934.</t>
  </si>
  <si>
    <t>Real numbers are based on using the CPI and population numbers of the previous year.</t>
  </si>
  <si>
    <t>N/A</t>
  </si>
  <si>
    <t xml:space="preserve"> </t>
  </si>
  <si>
    <t>Population</t>
  </si>
  <si>
    <t>CPI- all urban  Annual Average</t>
  </si>
  <si>
    <t>CPI</t>
  </si>
  <si>
    <t>http://data.bls.gov/cgi-bin/surveymost?cu</t>
  </si>
  <si>
    <t>Beer Tax</t>
  </si>
  <si>
    <t>Tax Collections</t>
  </si>
  <si>
    <t>Cigarette Tax Collections include amounts earmarked for Cigarette and Tobacco Prevention.</t>
  </si>
  <si>
    <t>9,10</t>
  </si>
  <si>
    <t>Bolded numbers represent a weighted rate based on when the statutory change was made effective.</t>
  </si>
  <si>
    <t>$12.80 effective Jul 1, 2003.</t>
  </si>
  <si>
    <t>Bolded numbers represent a weighted average rate based on when the statutory change was made effective.</t>
  </si>
  <si>
    <t>$0.033 = price per 12 oz can</t>
  </si>
  <si>
    <t>$0.039 = price per 12 oz can</t>
  </si>
  <si>
    <t>*Workers' Compensation</t>
  </si>
  <si>
    <t>Fiscal Year</t>
  </si>
  <si>
    <t>Real Tax Collections</t>
  </si>
  <si>
    <t>Real Per Capita</t>
  </si>
  <si>
    <t>1 Real numbers are based on using the CPI and population of the previous year. The CPI base period for real numbers: 1982 to 1984 = 100</t>
  </si>
  <si>
    <t>2 Bold numbers are a weighted percentage based on a one quarter lag and when the statutory change was made effective.</t>
  </si>
  <si>
    <r>
      <t>Ores Rate %</t>
    </r>
    <r>
      <rPr>
        <i/>
        <vertAlign val="superscript"/>
        <sz val="10"/>
        <rFont val="Times"/>
        <family val="1"/>
      </rPr>
      <t>2</t>
    </r>
  </si>
  <si>
    <t>See Footnote 4</t>
  </si>
  <si>
    <t>See Footnote 5</t>
  </si>
  <si>
    <t>See Footnote 6</t>
  </si>
  <si>
    <t>See Footnote 7</t>
  </si>
  <si>
    <t>See Footnote 8</t>
  </si>
  <si>
    <t>See Footnote 9</t>
  </si>
  <si>
    <t>See Footnote 10</t>
  </si>
  <si>
    <t>See Footnote 11</t>
  </si>
  <si>
    <t xml:space="preserve">3 Numbers shown for 1964 to 1987 are gross collections, except 1983.  The average refund for 1969 to 1987 is 0.10%.
</t>
  </si>
  <si>
    <t>4 The Mine Occupations Tax was made effective on May 11, 1937.  The taxable base was net proceeds which equaled gross proceeds less certain deductions, e.g., transportation and smelting costs.</t>
  </si>
  <si>
    <t>5 Oil &amp; Gas tax rate of 2%  effective Jan 1, 1960.</t>
  </si>
  <si>
    <t>6 The sum of Metalliferous Ores and Oil &amp; Gas = Mine Occupation Tax. These breakdown figures were only available starting in 1964.</t>
  </si>
  <si>
    <t>7 Oil &amp; Gas tax rate of 4% effective Jan 1, 1984.</t>
  </si>
  <si>
    <t>9 Tax on Metalliferous minerals was increased to 2.6% on January 1, 1990.</t>
  </si>
  <si>
    <t>10 The severance tax on oil &amp; gas was changed to: 3 percent of the value up to and including the first $13 per barrel for oil; and 5 percent of the value from $13.01 and above per barrel for oil.  3 percent of the value up to and including the first $1.50 per MCF for gas; and 5 percent of the value from $1.51 and above per MCF for gas (effective date January 1, 1992). 5 percent of the value from $1.51 and above per MCF for gas (effective date January 1, 1992).</t>
  </si>
  <si>
    <t>See Footnote 12</t>
  </si>
  <si>
    <t xml:space="preserve">8 In fiscal year 1988 the Mine Occupations Tax was changed into two separate taxes: Mining Severance Tax and Oil &amp; Gas Severance Tax (effective Date retroactive to January 1, 1988).  2.4% for Ores. The breakdown figures for fiscal years after 1983 are for net collections; prior years are gross collections before refunds.  The refunds for these years are minimal, the average refund for 1969-1987 is 0.10%. </t>
  </si>
  <si>
    <t>General Fund Beer Tax</t>
  </si>
  <si>
    <t>Total Beer Tax Collections</t>
  </si>
  <si>
    <t>Tax Rate: $ / 31 Gallons of Beer</t>
  </si>
  <si>
    <t>Taxable Gallons</t>
  </si>
  <si>
    <t>Alcohol Beverage Enforcement and Treatment Restricted Account</t>
  </si>
  <si>
    <t>After 2004, revenues are divided between the General Fund and Alcohol Beverage Enforcement/Treatment- Restricted Account</t>
  </si>
  <si>
    <t>Fire Academy Support</t>
  </si>
  <si>
    <t>Firemen's Pension</t>
  </si>
  <si>
    <t>Property, Casualty &amp; Life</t>
  </si>
  <si>
    <t>Surplus Line Brokers</t>
  </si>
  <si>
    <t>Title Insurance</t>
  </si>
  <si>
    <t>Motor Vehicle</t>
  </si>
  <si>
    <t>Industrial Accident Restricted Account</t>
  </si>
  <si>
    <t>Insurance Premium Tax</t>
  </si>
  <si>
    <t>Tax Rate %</t>
  </si>
  <si>
    <t>Oil &amp; Gas Conservation Fee</t>
  </si>
  <si>
    <t>The fee is equal to .2 % of the value of the oil or gas (Utah Code 40-6-14).</t>
  </si>
  <si>
    <t>Derived No. Of Packs Sold</t>
  </si>
  <si>
    <t>Tax Rate: $/Pack</t>
  </si>
  <si>
    <t>Cigarette &amp; Tobacco License Tax Collections</t>
  </si>
  <si>
    <t>Cigarette &amp; Tobacco Prevention Restricted Tax Collections</t>
  </si>
  <si>
    <t>Cigarette &amp; Tobacco Tax</t>
  </si>
  <si>
    <t>Total Tax Collections</t>
  </si>
  <si>
    <t>General Fund Cigarette Tax Collections</t>
  </si>
  <si>
    <t>1 Rough estimates for years 1923 to 1931.  These years are prior to the existence of the Utah State Tax Commission.  The data in these years are not available from the State Tax Commission.  Prior to this time, the Cigarette Tax was administered by the State Treasurer.</t>
  </si>
  <si>
    <t>2 The law was changed from the retailer buying the stamp to the wholesaler; after this, collections from the tax were more efficient.</t>
  </si>
  <si>
    <t>3 4¢ / pack effective Feb 19, 1954.</t>
  </si>
  <si>
    <t xml:space="preserve">4 First million collected distributed to the Uniform School Fund, the rest of the collections are distributed to the General Fund. </t>
  </si>
  <si>
    <t xml:space="preserve">5 Tax on tobacco enacted July 1, 1963 with a rate of 25% of the manufacturer's sales price; 8¢ / pack effective May 15, 1963. </t>
  </si>
  <si>
    <t>6 Distribution changed: all collections go into the General Fund.</t>
  </si>
  <si>
    <t>7 10¢ / pack effective July 1, 1979.</t>
  </si>
  <si>
    <t>8 12¢ / pack effective July 1, 1982.</t>
  </si>
  <si>
    <t>9 Tobacco tax rate increase to 35% of manufacturer's sales price effective July 1, 1986.</t>
  </si>
  <si>
    <t>10 23¢ / pack of 20 cigarettes (1.15 cents per cigarette), effective April 27, 1987.</t>
  </si>
  <si>
    <t>11 26.5¢ / pack of 20 cigarettes (1.325 cents per cigarette), effective July 1, 1991 (HB 227, Cigarette Tax Increase, 1991 Legislative Session)</t>
  </si>
  <si>
    <t>12 51.5¢ / pack of 20 cigarettes (2.575 cents per cigarette), effective July 1, 1997 (HB 27, Cigarette Tax Increase &amp; Regulation, 1997 Legislative Session)</t>
  </si>
  <si>
    <t xml:space="preserve">13 69.5¢ / pack of 20 cigarettes (3.475 cents per cigarette) effective May 6, 2002 (HB 238, Cigarette &amp; Tobacco Tax Amendments, 2002 Legislative Session); </t>
  </si>
  <si>
    <t>14 HB 238 (2002)  did not include a floor tax on inventory; likely some pre-buying of stamps at old tax rate (.5150) for 2003; an estimated 25% pre-bought</t>
  </si>
  <si>
    <t>15 $1.70 / pack for cigarettes (8.5 cents per cigarette) and 86% of manufacturer's sales price for tobacco, effective July 1, 2010  (SB 259, Amendments to Tobacco Tax, 2010 Legislative Session)</t>
  </si>
  <si>
    <t>The CPI base period for real numbers: 1982 to 1984 = 100</t>
  </si>
  <si>
    <t>Rate changed from 1.5% to 2.25% May 1935.</t>
  </si>
  <si>
    <t>not avail.</t>
  </si>
  <si>
    <t>Employer's Reinsurance &amp; Uninsured Employers</t>
  </si>
  <si>
    <t>Unisnusred Employers, Employers Reinsurance &amp; Workplace Safety*</t>
  </si>
  <si>
    <t>3.25% for WC effective July 1, 1971</t>
  </si>
  <si>
    <t>3% for WC effective July 1974</t>
  </si>
  <si>
    <t>3.25% for WC effective July 1976</t>
  </si>
  <si>
    <t>.45% for title insurance effective July 1986</t>
  </si>
  <si>
    <t>8% for WC effective July 1988</t>
  </si>
  <si>
    <t>7% for WC effective July 1990</t>
  </si>
  <si>
    <t>5.73% for WC effective July 1992</t>
  </si>
  <si>
    <t>Add'l 0.01% for MV effective July 1993</t>
  </si>
  <si>
    <t>5.85% for WC effective July 1995</t>
  </si>
  <si>
    <t>Add'l 0.0175% for MV effective Jan. 1, 1989</t>
  </si>
  <si>
    <t xml:space="preserve">Firemen's Pension = 10% of tax from life </t>
  </si>
  <si>
    <t xml:space="preserve">insur. premiums plus 30% of tax from fire </t>
  </si>
  <si>
    <t xml:space="preserve">insur. premiums plus 25% of tax from fire </t>
  </si>
  <si>
    <t>Data Sources</t>
  </si>
  <si>
    <t>Mine Occupation, Metal and Oil &amp; Gas Severance General Fund Collections</t>
  </si>
  <si>
    <t>3 to 5</t>
  </si>
  <si>
    <t>Mining Severance Tax General Fund</t>
  </si>
  <si>
    <t>Total Mining Severance Tax Collections</t>
  </si>
  <si>
    <t>Mining Severance Tax</t>
  </si>
  <si>
    <t>Oil &amp; Gas Severance Tax</t>
  </si>
  <si>
    <r>
      <t>Oil &amp; Gas Rate %</t>
    </r>
    <r>
      <rPr>
        <i/>
        <vertAlign val="superscript"/>
        <sz val="10"/>
        <rFont val="Times"/>
      </rPr>
      <t>10</t>
    </r>
  </si>
  <si>
    <t>12 For Fiscal Years 2009-2013 and 2017+ severance tax from Mining and Oil &amp; Gas in excess of statutorily specified amounts is to be deposited into the Permanent State Trust Fund.</t>
  </si>
  <si>
    <t>Total Mine Occupation/Severance Tax</t>
  </si>
  <si>
    <t>11 Beginning in FY1996 for the Uintah Basin Revitalization Fund and FY1997 for the Navajo Revitalization Fund, certain percentages of oil and gas severance tax revenue attributable to a wells with interests held in trust by the United States for the Ute Indian Tribe or the Navajo Nation are deposited into the Revitalization Funds up to statutorily specified maximums (See Utah Code Sec. 59-5-116 and (Utah Code 59-5-119).</t>
  </si>
  <si>
    <t>Oil &amp; Gas Severance Tax General Fund</t>
  </si>
  <si>
    <t>Oil and Gas Severance Tax Revitalization Funds</t>
  </si>
  <si>
    <t>All Excise Taxes</t>
  </si>
  <si>
    <t>Cigarette</t>
  </si>
  <si>
    <t>Tobacco</t>
  </si>
  <si>
    <t>Beer</t>
  </si>
  <si>
    <t>Insurance Premium</t>
  </si>
  <si>
    <t>Oil and Gas Conservation Fee</t>
  </si>
  <si>
    <t>Severance Taxes</t>
  </si>
  <si>
    <t>Total Excise Taxes</t>
  </si>
  <si>
    <t>Workplace Safety Account</t>
  </si>
  <si>
    <t>Relative Value Study Fund</t>
  </si>
  <si>
    <t xml:space="preserve">General Fund Collections   </t>
  </si>
  <si>
    <t>Total Insurance Premium Tax Collections (admitted insurer's &amp; self-insurer's tax)</t>
  </si>
  <si>
    <t>$13.10 effective Nov. 1, 2019</t>
  </si>
  <si>
    <t>CY Tax Rates ( % )</t>
  </si>
  <si>
    <t>E-Cigarette Substance &amp; Nicotine Product Tax</t>
  </si>
  <si>
    <t>16 SB 37 (2020) imposed a tax of .56 multiplied by the manufacturer's sales price on electronic cigarettes beginning on July 1, 2020 and on nontherapeutic nicotine devices on July 1, 2021</t>
  </si>
  <si>
    <t>1 SB 195 (2004) imposes 6.25% tax on amounts paid or charged for multi-channel video or audio services.</t>
  </si>
  <si>
    <r>
      <t>Multi-Channel Video or Audio Service Tax</t>
    </r>
    <r>
      <rPr>
        <b/>
        <vertAlign val="superscript"/>
        <sz val="10"/>
        <color indexed="8"/>
        <rFont val="Times"/>
        <family val="1"/>
      </rPr>
      <t>1</t>
    </r>
  </si>
  <si>
    <t>Multi-Channel Video or Audio Service Tax</t>
  </si>
  <si>
    <t>See Footnote 13</t>
  </si>
  <si>
    <r>
      <t>Mine Occupation, Metal Mining and Oil &amp; Gas Severance Taxes</t>
    </r>
    <r>
      <rPr>
        <b/>
        <vertAlign val="superscript"/>
        <sz val="14"/>
        <color indexed="8"/>
        <rFont val="Times"/>
        <family val="1"/>
      </rPr>
      <t>1, 3, 4</t>
    </r>
  </si>
  <si>
    <r>
      <t>Mining Earmarks</t>
    </r>
    <r>
      <rPr>
        <i/>
        <vertAlign val="superscript"/>
        <sz val="10"/>
        <rFont val="Times"/>
      </rPr>
      <t>13</t>
    </r>
  </si>
  <si>
    <t>https://gardner.utah.edu/demographics/population-estimates/state-and-county/</t>
  </si>
  <si>
    <t xml:space="preserve">Alcoholic Beverage Control Act Enforcement Fund </t>
  </si>
  <si>
    <t>$13.35 effective July 1, 2024</t>
  </si>
  <si>
    <t>Total Oil and Gas Severance Tax Collections</t>
  </si>
  <si>
    <r>
      <t>Other Oil and Gas Earmarks</t>
    </r>
    <r>
      <rPr>
        <i/>
        <vertAlign val="superscript"/>
        <sz val="10"/>
        <rFont val="Times"/>
      </rPr>
      <t>13,14</t>
    </r>
  </si>
  <si>
    <t>See Footnote 14</t>
  </si>
  <si>
    <t>14 In addition to the earmarks in Footnote 13, beginning in FY 2024 Oil &amp; Gas Severance Tax earmarks also include amounts earmarked to the Transportation Investment Fund for above trend transfers and beginning in FY 2025 amounts earmarked to the Aviation Fuel Incentive Account.</t>
  </si>
  <si>
    <t>13 Earmarks include amounts to the Permanent State Trust Fund. Beginning in FY22 also include amounts earmarked to one of the following 4 accounts: 1) Division of Air Quality Oil, Gas, and Mining Restricted Account; 2) Division of Water Quality Oil, Gas, and Mining Restricted Account; 3) Division of Oil, Gas, and Mining Restricted Account; and 4) Utah Geological Survey Oil, Gas, and Mining Restricted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</si>
</sst>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43" formatCode="_(* #,##0.00_);_(* \(#,##0.00\);_(* &quot;-&quot;??_);_(@_)"/>
    <numFmt numFmtId="164" formatCode="0.0"/>
    <numFmt numFmtId="165" formatCode="0.000"/>
    <numFmt numFmtId="166" formatCode="0.0000"/>
    <numFmt numFmtId="167" formatCode="&quot;$&quot;#,##0.000_);[Red]\(&quot;$&quot;#,##0.000\)"/>
    <numFmt numFmtId="168" formatCode="_(* #,##0_);_(* \(#,##0\);_(* &quot;-&quot;??_);_(@_)"/>
  </numFmts>
  <fonts count="39">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0"/>
      <name val="Arial"/>
      <family val="2"/>
    </font>
    <font>
      <u/>
      <sz val="10"/>
      <color indexed="12"/>
      <name val="Arial"/>
      <family val="2"/>
    </font>
    <font>
      <sz val="10"/>
      <name val="MS Sans Serif"/>
      <family val="2"/>
    </font>
    <font>
      <sz val="10"/>
      <name val="Arial"/>
      <family val="2"/>
    </font>
    <font>
      <sz val="10"/>
      <name val="Times"/>
      <family val="1"/>
    </font>
    <font>
      <i/>
      <sz val="10"/>
      <name val="Times"/>
      <family val="1"/>
    </font>
    <font>
      <sz val="10"/>
      <color indexed="8"/>
      <name val="Times"/>
      <family val="1"/>
    </font>
    <font>
      <b/>
      <sz val="10"/>
      <name val="Times"/>
      <family val="1"/>
    </font>
    <font>
      <sz val="10"/>
      <color rgb="FFFF0000"/>
      <name val="Times"/>
      <family val="1"/>
    </font>
    <font>
      <b/>
      <sz val="8"/>
      <name val="Times"/>
      <family val="1"/>
    </font>
    <font>
      <b/>
      <sz val="14"/>
      <color indexed="8"/>
      <name val="Times"/>
      <family val="1"/>
    </font>
    <font>
      <i/>
      <vertAlign val="superscript"/>
      <sz val="10"/>
      <name val="Times"/>
      <family val="1"/>
    </font>
    <font>
      <b/>
      <vertAlign val="superscript"/>
      <sz val="14"/>
      <color indexed="8"/>
      <name val="Times"/>
      <family val="1"/>
    </font>
    <font>
      <sz val="8"/>
      <name val="Times"/>
      <family val="1"/>
    </font>
    <font>
      <sz val="9.5"/>
      <name val="Times"/>
      <family val="1"/>
    </font>
    <font>
      <b/>
      <sz val="7"/>
      <name val="Times"/>
      <family val="1"/>
    </font>
    <font>
      <b/>
      <sz val="14"/>
      <name val="Times"/>
      <family val="1"/>
    </font>
    <font>
      <sz val="10"/>
      <name val="Times"/>
      <family val="1"/>
    </font>
    <font>
      <i/>
      <vertAlign val="superscript"/>
      <sz val="10"/>
      <name val="Times"/>
    </font>
    <font>
      <i/>
      <sz val="10"/>
      <name val="Times"/>
    </font>
    <font>
      <b/>
      <sz val="11"/>
      <color theme="1"/>
      <name val="Times"/>
    </font>
    <font>
      <sz val="10"/>
      <name val="Times"/>
    </font>
    <font>
      <u/>
      <sz val="10"/>
      <color indexed="12"/>
      <name val="Times"/>
    </font>
    <font>
      <sz val="10"/>
      <color theme="1"/>
      <name val="Times"/>
    </font>
    <font>
      <b/>
      <vertAlign val="superscript"/>
      <sz val="10"/>
      <color indexed="8"/>
      <name val="Times"/>
      <family val="1"/>
    </font>
    <font>
      <sz val="10"/>
      <color theme="1"/>
      <name val="Arial"/>
      <family val="2"/>
    </font>
    <font>
      <sz val="11"/>
      <color indexed="8"/>
      <name val="Calibri"/>
      <family val="2"/>
      <scheme val="minor"/>
    </font>
    <font>
      <sz val="12"/>
      <color indexed="8"/>
      <name val="Times New Roman"/>
      <family val="2"/>
    </font>
    <font>
      <sz val="12"/>
      <color theme="1"/>
      <name val="Times New Roman"/>
      <family val="2"/>
    </font>
    <font>
      <u/>
      <sz val="10"/>
      <color theme="10"/>
      <name val="Arial"/>
      <family val="2"/>
    </font>
    <font>
      <sz val="10"/>
      <color theme="1"/>
      <name val="Times New Roman"/>
      <family val="1"/>
    </font>
    <font>
      <sz val="10"/>
      <name val="Times New Roman"/>
      <family val="1"/>
    </font>
    <font>
      <b/>
      <sz val="10"/>
      <name val="Times"/>
    </font>
    <font>
      <sz val="10"/>
      <color theme="1"/>
      <name val="Times "/>
    </font>
  </fonts>
  <fills count="3">
    <fill>
      <patternFill patternType="none"/>
    </fill>
    <fill>
      <patternFill patternType="gray125"/>
    </fill>
    <fill>
      <patternFill patternType="solid">
        <fgColor theme="0"/>
        <bgColor indexed="64"/>
      </patternFill>
    </fill>
  </fills>
  <borders count="72">
    <border>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40" fontId="4"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0" fontId="7" fillId="0" borderId="0" applyFont="0" applyFill="0" applyBorder="0" applyAlignment="0" applyProtection="0"/>
    <xf numFmtId="8" fontId="4" fillId="0" borderId="0" applyFont="0" applyFill="0" applyBorder="0" applyAlignment="0" applyProtection="0"/>
    <xf numFmtId="8" fontId="7" fillId="0" borderId="0" applyFont="0" applyFill="0" applyBorder="0" applyAlignment="0" applyProtection="0"/>
    <xf numFmtId="0" fontId="6" fillId="0" borderId="0" applyNumberFormat="0" applyFill="0" applyBorder="0" applyAlignment="0" applyProtection="0">
      <alignment vertical="top"/>
      <protection locked="0"/>
    </xf>
    <xf numFmtId="43" fontId="5" fillId="0" borderId="0" applyFont="0" applyFill="0" applyBorder="0" applyAlignment="0" applyProtection="0"/>
    <xf numFmtId="40" fontId="4" fillId="0" borderId="0" applyFont="0" applyFill="0" applyBorder="0" applyAlignment="0" applyProtection="0"/>
    <xf numFmtId="8" fontId="4" fillId="0" borderId="0" applyFont="0" applyFill="0" applyBorder="0" applyAlignment="0" applyProtection="0"/>
    <xf numFmtId="40"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0" fontId="4" fillId="0" borderId="0" applyFont="0" applyFill="0" applyBorder="0" applyAlignment="0" applyProtection="0"/>
    <xf numFmtId="8"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0" fontId="4" fillId="0" borderId="0" applyFont="0" applyFill="0" applyBorder="0" applyAlignment="0" applyProtection="0"/>
    <xf numFmtId="8" fontId="4"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8" fontId="4" fillId="0" borderId="0" applyFont="0" applyFill="0" applyBorder="0" applyAlignment="0" applyProtection="0"/>
    <xf numFmtId="0" fontId="5" fillId="0" borderId="0"/>
    <xf numFmtId="40"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0" fontId="4" fillId="0" borderId="0" applyFont="0" applyFill="0" applyBorder="0" applyAlignment="0" applyProtection="0"/>
    <xf numFmtId="8" fontId="4"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8" fontId="4" fillId="0" borderId="0" applyFont="0" applyFill="0" applyBorder="0" applyAlignment="0" applyProtection="0"/>
    <xf numFmtId="0" fontId="5" fillId="0" borderId="0"/>
    <xf numFmtId="40"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8" fontId="4" fillId="0" borderId="0" applyFont="0" applyFill="0" applyBorder="0" applyAlignment="0" applyProtection="0"/>
    <xf numFmtId="43" fontId="5" fillId="0" borderId="0" applyFont="0" applyFill="0" applyBorder="0" applyAlignment="0" applyProtection="0"/>
    <xf numFmtId="40" fontId="4" fillId="0" borderId="0" applyFont="0" applyFill="0" applyBorder="0" applyAlignment="0" applyProtection="0"/>
    <xf numFmtId="40" fontId="4" fillId="0" borderId="0" applyFont="0" applyFill="0" applyBorder="0" applyAlignment="0" applyProtection="0"/>
    <xf numFmtId="43" fontId="5" fillId="0" borderId="0" applyFont="0" applyFill="0" applyBorder="0" applyAlignment="0" applyProtection="0"/>
    <xf numFmtId="40" fontId="4" fillId="0" borderId="0" applyFont="0" applyFill="0" applyBorder="0" applyAlignment="0" applyProtection="0"/>
    <xf numFmtId="40" fontId="4" fillId="0" borderId="0" applyFont="0" applyFill="0" applyBorder="0" applyAlignment="0" applyProtection="0"/>
    <xf numFmtId="0" fontId="5" fillId="0" borderId="0"/>
    <xf numFmtId="40" fontId="4" fillId="0" borderId="0" applyFont="0" applyFill="0" applyBorder="0" applyAlignment="0" applyProtection="0"/>
    <xf numFmtId="43" fontId="5" fillId="0" borderId="0" applyFont="0" applyFill="0" applyBorder="0" applyAlignment="0" applyProtection="0"/>
    <xf numFmtId="8" fontId="4" fillId="0" borderId="0" applyFont="0" applyFill="0" applyBorder="0" applyAlignment="0" applyProtection="0"/>
    <xf numFmtId="43" fontId="5" fillId="0" borderId="0" applyFont="0" applyFill="0" applyBorder="0" applyAlignment="0" applyProtection="0"/>
    <xf numFmtId="8" fontId="4" fillId="0" borderId="0" applyFont="0" applyFill="0" applyBorder="0" applyAlignment="0" applyProtection="0"/>
    <xf numFmtId="43" fontId="5" fillId="0" borderId="0" applyFont="0" applyFill="0" applyBorder="0" applyAlignment="0" applyProtection="0"/>
    <xf numFmtId="40" fontId="4" fillId="0" borderId="0" applyFont="0" applyFill="0" applyBorder="0" applyAlignment="0" applyProtection="0"/>
    <xf numFmtId="8" fontId="4" fillId="0" borderId="0" applyFont="0" applyFill="0" applyBorder="0" applyAlignment="0" applyProtection="0"/>
    <xf numFmtId="43" fontId="5" fillId="0" borderId="0" applyFont="0" applyFill="0" applyBorder="0" applyAlignment="0" applyProtection="0"/>
    <xf numFmtId="40" fontId="4" fillId="0" borderId="0" applyFont="0" applyFill="0" applyBorder="0" applyAlignment="0" applyProtection="0"/>
    <xf numFmtId="8" fontId="4" fillId="0" borderId="0" applyFont="0" applyFill="0" applyBorder="0" applyAlignment="0" applyProtection="0"/>
    <xf numFmtId="0" fontId="5" fillId="0" borderId="0"/>
    <xf numFmtId="43" fontId="5" fillId="0" borderId="0" applyFont="0" applyFill="0" applyBorder="0" applyAlignment="0" applyProtection="0"/>
    <xf numFmtId="8" fontId="4" fillId="0" borderId="0" applyFont="0" applyFill="0" applyBorder="0" applyAlignment="0" applyProtection="0"/>
    <xf numFmtId="0" fontId="5" fillId="0" borderId="0"/>
    <xf numFmtId="40" fontId="4" fillId="0" borderId="0" applyFont="0" applyFill="0" applyBorder="0" applyAlignment="0" applyProtection="0"/>
    <xf numFmtId="43" fontId="5" fillId="0" borderId="0" applyFont="0" applyFill="0" applyBorder="0" applyAlignment="0" applyProtection="0"/>
    <xf numFmtId="40" fontId="4" fillId="0" borderId="0" applyFont="0" applyFill="0" applyBorder="0" applyAlignment="0" applyProtection="0"/>
    <xf numFmtId="8" fontId="4" fillId="0" borderId="0" applyFont="0" applyFill="0" applyBorder="0" applyAlignment="0" applyProtection="0"/>
    <xf numFmtId="0" fontId="5" fillId="0" borderId="0"/>
    <xf numFmtId="43" fontId="5" fillId="0" borderId="0" applyFont="0" applyFill="0" applyBorder="0" applyAlignment="0" applyProtection="0"/>
    <xf numFmtId="8" fontId="4" fillId="0" borderId="0" applyFont="0" applyFill="0" applyBorder="0" applyAlignment="0" applyProtection="0"/>
    <xf numFmtId="0" fontId="5" fillId="0" borderId="0"/>
    <xf numFmtId="40" fontId="4" fillId="0" borderId="0" applyFont="0" applyFill="0" applyBorder="0" applyAlignment="0" applyProtection="0"/>
    <xf numFmtId="43" fontId="5" fillId="0" borderId="0" applyFont="0" applyFill="0" applyBorder="0" applyAlignment="0" applyProtection="0"/>
    <xf numFmtId="8" fontId="4" fillId="0" borderId="0" applyFont="0" applyFill="0" applyBorder="0" applyAlignment="0" applyProtection="0"/>
    <xf numFmtId="43" fontId="5" fillId="0" borderId="0" applyFont="0" applyFill="0" applyBorder="0" applyAlignment="0" applyProtection="0"/>
    <xf numFmtId="40" fontId="4"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30" fillId="0" borderId="0"/>
    <xf numFmtId="0" fontId="3" fillId="0" borderId="0"/>
    <xf numFmtId="0" fontId="5" fillId="0" borderId="0"/>
    <xf numFmtId="0" fontId="31" fillId="0" borderId="0"/>
    <xf numFmtId="40" fontId="4" fillId="0" borderId="0" applyFont="0" applyFill="0" applyBorder="0" applyAlignment="0" applyProtection="0"/>
    <xf numFmtId="44" fontId="32" fillId="0" borderId="0" applyFont="0" applyFill="0" applyBorder="0" applyAlignment="0" applyProtection="0"/>
    <xf numFmtId="0" fontId="6" fillId="0" borderId="0" applyNumberFormat="0" applyFill="0" applyBorder="0" applyAlignment="0" applyProtection="0">
      <alignment vertical="top"/>
      <protection locked="0"/>
    </xf>
    <xf numFmtId="0" fontId="33" fillId="0" borderId="0"/>
    <xf numFmtId="0" fontId="5" fillId="0" borderId="0"/>
    <xf numFmtId="0" fontId="3" fillId="0" borderId="0"/>
    <xf numFmtId="0" fontId="34" fillId="0" borderId="0" applyNumberFormat="0" applyFill="0" applyBorder="0" applyAlignment="0" applyProtection="0"/>
    <xf numFmtId="0" fontId="31" fillId="0" borderId="0"/>
    <xf numFmtId="8" fontId="4" fillId="0" borderId="0" applyFont="0" applyFill="0" applyBorder="0" applyAlignment="0" applyProtection="0"/>
    <xf numFmtId="8" fontId="4"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2" fontId="5"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0" fontId="5" fillId="0" borderId="0"/>
    <xf numFmtId="9" fontId="30" fillId="0" borderId="0" applyFont="0" applyFill="0" applyBorder="0" applyAlignment="0" applyProtection="0"/>
    <xf numFmtId="0" fontId="5" fillId="0" borderId="0"/>
    <xf numFmtId="43" fontId="30" fillId="0" borderId="0" applyFont="0" applyFill="0" applyBorder="0" applyAlignment="0" applyProtection="0"/>
    <xf numFmtId="9" fontId="5" fillId="0" borderId="0" applyFont="0" applyFill="0" applyBorder="0" applyAlignment="0" applyProtection="0"/>
  </cellStyleXfs>
  <cellXfs count="496">
    <xf numFmtId="0" fontId="0" fillId="0" borderId="0" xfId="0"/>
    <xf numFmtId="0" fontId="9" fillId="0" borderId="0" xfId="0" applyFont="1"/>
    <xf numFmtId="3" fontId="9" fillId="0" borderId="20" xfId="2" applyNumberFormat="1" applyFont="1" applyBorder="1"/>
    <xf numFmtId="3" fontId="9" fillId="0" borderId="2" xfId="2" applyNumberFormat="1" applyFont="1" applyBorder="1"/>
    <xf numFmtId="168" fontId="9" fillId="0" borderId="2" xfId="2" applyNumberFormat="1" applyFont="1" applyBorder="1" applyAlignment="1">
      <alignment horizontal="center"/>
    </xf>
    <xf numFmtId="168" fontId="9" fillId="0" borderId="2" xfId="2" applyNumberFormat="1" applyFont="1" applyBorder="1"/>
    <xf numFmtId="3" fontId="9" fillId="0" borderId="31" xfId="2" applyNumberFormat="1" applyFont="1" applyBorder="1"/>
    <xf numFmtId="3" fontId="9" fillId="0" borderId="23" xfId="2" applyNumberFormat="1" applyFont="1" applyBorder="1"/>
    <xf numFmtId="168" fontId="9" fillId="0" borderId="23" xfId="2" applyNumberFormat="1" applyFont="1" applyBorder="1" applyAlignment="1">
      <alignment horizontal="center"/>
    </xf>
    <xf numFmtId="168" fontId="9" fillId="0" borderId="23" xfId="2" applyNumberFormat="1" applyFont="1" applyBorder="1"/>
    <xf numFmtId="3" fontId="11" fillId="0" borderId="2" xfId="2" applyNumberFormat="1" applyFont="1" applyBorder="1"/>
    <xf numFmtId="2" fontId="11" fillId="0" borderId="2" xfId="2" applyNumberFormat="1" applyFont="1" applyBorder="1"/>
    <xf numFmtId="2" fontId="11" fillId="0" borderId="2" xfId="2" applyNumberFormat="1" applyFont="1" applyBorder="1" applyAlignment="1">
      <alignment horizontal="right"/>
    </xf>
    <xf numFmtId="3" fontId="11" fillId="0" borderId="23" xfId="2" applyNumberFormat="1" applyFont="1" applyBorder="1"/>
    <xf numFmtId="2" fontId="11" fillId="0" borderId="23" xfId="2" applyNumberFormat="1" applyFont="1" applyBorder="1"/>
    <xf numFmtId="2" fontId="11" fillId="0" borderId="23" xfId="2" applyNumberFormat="1" applyFont="1" applyBorder="1" applyAlignment="1">
      <alignment horizontal="right"/>
    </xf>
    <xf numFmtId="3" fontId="9" fillId="0" borderId="20" xfId="0" applyNumberFormat="1" applyFont="1" applyBorder="1"/>
    <xf numFmtId="0" fontId="9" fillId="0" borderId="2" xfId="0" applyFont="1" applyBorder="1"/>
    <xf numFmtId="3" fontId="9" fillId="0" borderId="31" xfId="0" applyNumberFormat="1" applyFont="1" applyBorder="1"/>
    <xf numFmtId="0" fontId="9" fillId="0" borderId="23" xfId="0" applyFont="1" applyBorder="1"/>
    <xf numFmtId="3" fontId="9" fillId="0" borderId="2" xfId="0" applyNumberFormat="1" applyFont="1" applyBorder="1"/>
    <xf numFmtId="3" fontId="9" fillId="0" borderId="23" xfId="0" applyNumberFormat="1" applyFont="1" applyBorder="1"/>
    <xf numFmtId="3" fontId="9" fillId="0" borderId="2" xfId="1" applyNumberFormat="1" applyFont="1" applyBorder="1"/>
    <xf numFmtId="0" fontId="13" fillId="0" borderId="0" xfId="0" applyFont="1"/>
    <xf numFmtId="3" fontId="9" fillId="0" borderId="0" xfId="1" applyNumberFormat="1" applyFont="1" applyBorder="1"/>
    <xf numFmtId="3" fontId="9" fillId="0" borderId="0" xfId="0" applyNumberFormat="1" applyFont="1"/>
    <xf numFmtId="0" fontId="9" fillId="0" borderId="0" xfId="0" applyFont="1" applyAlignment="1">
      <alignment horizontal="center"/>
    </xf>
    <xf numFmtId="0" fontId="9" fillId="0" borderId="0" xfId="0" applyFont="1" applyAlignment="1">
      <alignment wrapText="1"/>
    </xf>
    <xf numFmtId="0" fontId="10" fillId="0" borderId="22" xfId="0" applyFont="1" applyBorder="1" applyAlignment="1">
      <alignment horizontal="center" wrapText="1"/>
    </xf>
    <xf numFmtId="168" fontId="9" fillId="0" borderId="20" xfId="2" applyNumberFormat="1" applyFont="1" applyBorder="1"/>
    <xf numFmtId="168" fontId="9" fillId="0" borderId="31" xfId="2" applyNumberFormat="1" applyFont="1" applyBorder="1"/>
    <xf numFmtId="3" fontId="11" fillId="0" borderId="2" xfId="2" applyNumberFormat="1" applyFont="1" applyFill="1" applyBorder="1"/>
    <xf numFmtId="3" fontId="9" fillId="0" borderId="21" xfId="2" applyNumberFormat="1" applyFont="1" applyBorder="1"/>
    <xf numFmtId="3" fontId="9" fillId="0" borderId="13" xfId="2" applyNumberFormat="1" applyFont="1" applyBorder="1"/>
    <xf numFmtId="3" fontId="11" fillId="0" borderId="13" xfId="2" applyNumberFormat="1" applyFont="1" applyBorder="1"/>
    <xf numFmtId="2" fontId="11" fillId="0" borderId="13" xfId="2" applyNumberFormat="1" applyFont="1" applyBorder="1"/>
    <xf numFmtId="2" fontId="11" fillId="0" borderId="13" xfId="2" applyNumberFormat="1" applyFont="1" applyBorder="1" applyAlignment="1">
      <alignment horizontal="right"/>
    </xf>
    <xf numFmtId="0" fontId="9" fillId="0" borderId="34" xfId="0" applyFont="1" applyBorder="1" applyAlignment="1">
      <alignment horizontal="center"/>
    </xf>
    <xf numFmtId="3" fontId="9" fillId="0" borderId="2" xfId="1" applyNumberFormat="1" applyFont="1" applyFill="1" applyBorder="1"/>
    <xf numFmtId="3" fontId="9" fillId="0" borderId="0" xfId="1" applyNumberFormat="1" applyFont="1" applyFill="1" applyBorder="1"/>
    <xf numFmtId="0" fontId="10" fillId="0" borderId="35" xfId="0" applyFont="1" applyBorder="1" applyAlignment="1">
      <alignment horizontal="center" wrapText="1"/>
    </xf>
    <xf numFmtId="3" fontId="9" fillId="0" borderId="2" xfId="0" applyNumberFormat="1" applyFont="1" applyBorder="1" applyAlignment="1">
      <alignment horizontal="center"/>
    </xf>
    <xf numFmtId="3" fontId="9" fillId="0" borderId="1" xfId="0" applyNumberFormat="1" applyFont="1" applyBorder="1" applyAlignment="1">
      <alignment horizontal="center"/>
    </xf>
    <xf numFmtId="0" fontId="18" fillId="0" borderId="0" xfId="0" applyFont="1"/>
    <xf numFmtId="0" fontId="20" fillId="0" borderId="0" xfId="0" applyFont="1" applyAlignment="1">
      <alignment horizontal="left"/>
    </xf>
    <xf numFmtId="0" fontId="9" fillId="0" borderId="4" xfId="0" applyFont="1" applyBorder="1"/>
    <xf numFmtId="0" fontId="10" fillId="0" borderId="36" xfId="0" applyFont="1" applyBorder="1" applyAlignment="1">
      <alignment horizontal="center" wrapText="1"/>
    </xf>
    <xf numFmtId="0" fontId="9" fillId="0" borderId="0" xfId="0" applyFont="1" applyAlignment="1">
      <alignment horizontal="left" vertical="top"/>
    </xf>
    <xf numFmtId="38" fontId="18" fillId="0" borderId="0" xfId="1" applyNumberFormat="1" applyFont="1"/>
    <xf numFmtId="166" fontId="18" fillId="0" borderId="0" xfId="0" applyNumberFormat="1" applyFont="1"/>
    <xf numFmtId="0" fontId="18" fillId="0" borderId="0" xfId="0" applyFont="1" applyAlignment="1">
      <alignment horizontal="centerContinuous"/>
    </xf>
    <xf numFmtId="38" fontId="18" fillId="0" borderId="0" xfId="1" applyNumberFormat="1" applyFont="1" applyBorder="1" applyAlignment="1">
      <alignment horizontal="centerContinuous"/>
    </xf>
    <xf numFmtId="166" fontId="18" fillId="0" borderId="0" xfId="0" applyNumberFormat="1" applyFont="1" applyAlignment="1">
      <alignment horizontal="centerContinuous"/>
    </xf>
    <xf numFmtId="38" fontId="9" fillId="0" borderId="13" xfId="1" applyNumberFormat="1" applyFont="1" applyBorder="1"/>
    <xf numFmtId="38" fontId="9" fillId="0" borderId="2" xfId="1" applyNumberFormat="1" applyFont="1" applyFill="1" applyBorder="1"/>
    <xf numFmtId="0" fontId="9" fillId="0" borderId="3" xfId="0" applyFont="1" applyBorder="1" applyAlignment="1">
      <alignment horizontal="center"/>
    </xf>
    <xf numFmtId="38" fontId="9" fillId="0" borderId="2" xfId="1" applyNumberFormat="1" applyFont="1" applyBorder="1"/>
    <xf numFmtId="0" fontId="9" fillId="0" borderId="18" xfId="0" applyFont="1" applyBorder="1"/>
    <xf numFmtId="0" fontId="9" fillId="0" borderId="30" xfId="0" applyFont="1" applyBorder="1" applyAlignment="1">
      <alignment horizontal="center"/>
    </xf>
    <xf numFmtId="38" fontId="9" fillId="0" borderId="23" xfId="1" applyNumberFormat="1" applyFont="1" applyBorder="1"/>
    <xf numFmtId="38" fontId="9" fillId="0" borderId="23" xfId="1" applyNumberFormat="1" applyFont="1" applyFill="1" applyBorder="1"/>
    <xf numFmtId="0" fontId="9" fillId="0" borderId="14" xfId="0" applyFont="1" applyBorder="1"/>
    <xf numFmtId="166" fontId="9" fillId="0" borderId="2" xfId="0" applyNumberFormat="1" applyFont="1" applyBorder="1"/>
    <xf numFmtId="166" fontId="9" fillId="0" borderId="23" xfId="0" applyNumberFormat="1" applyFont="1" applyBorder="1"/>
    <xf numFmtId="38" fontId="9" fillId="0" borderId="2" xfId="1" applyNumberFormat="1" applyFont="1" applyFill="1" applyBorder="1" applyAlignment="1">
      <alignment horizontal="right"/>
    </xf>
    <xf numFmtId="38" fontId="9" fillId="0" borderId="23" xfId="1" applyNumberFormat="1" applyFont="1" applyFill="1" applyBorder="1" applyAlignment="1">
      <alignment horizontal="right"/>
    </xf>
    <xf numFmtId="0" fontId="13" fillId="0" borderId="18" xfId="0" applyFont="1" applyBorder="1"/>
    <xf numFmtId="38" fontId="9" fillId="0" borderId="2" xfId="1" applyNumberFormat="1" applyFont="1" applyBorder="1" applyAlignment="1">
      <alignment horizontal="right"/>
    </xf>
    <xf numFmtId="0" fontId="9" fillId="0" borderId="12" xfId="0" applyFont="1" applyBorder="1" applyAlignment="1">
      <alignment horizontal="center"/>
    </xf>
    <xf numFmtId="0" fontId="9" fillId="0" borderId="9" xfId="0" applyFont="1" applyBorder="1" applyAlignment="1">
      <alignment horizontal="center"/>
    </xf>
    <xf numFmtId="38" fontId="9" fillId="0" borderId="17" xfId="1" applyNumberFormat="1" applyFont="1" applyBorder="1"/>
    <xf numFmtId="0" fontId="9" fillId="0" borderId="17" xfId="0" applyFont="1" applyBorder="1"/>
    <xf numFmtId="0" fontId="9" fillId="0" borderId="17" xfId="0" applyFont="1" applyBorder="1" applyAlignment="1">
      <alignment horizontal="center"/>
    </xf>
    <xf numFmtId="0" fontId="9" fillId="0" borderId="2" xfId="0" applyFont="1" applyBorder="1" applyAlignment="1">
      <alignment horizontal="center"/>
    </xf>
    <xf numFmtId="2" fontId="9" fillId="2" borderId="2" xfId="0" applyNumberFormat="1" applyFont="1" applyFill="1" applyBorder="1" applyAlignment="1">
      <alignment horizontal="center"/>
    </xf>
    <xf numFmtId="0" fontId="9" fillId="0" borderId="23" xfId="0" applyFont="1" applyBorder="1" applyAlignment="1">
      <alignment horizontal="center"/>
    </xf>
    <xf numFmtId="2" fontId="9" fillId="2" borderId="23" xfId="0" applyNumberFormat="1" applyFont="1" applyFill="1" applyBorder="1" applyAlignment="1">
      <alignment horizontal="center"/>
    </xf>
    <xf numFmtId="165" fontId="9" fillId="0" borderId="2" xfId="0" applyNumberFormat="1" applyFont="1" applyBorder="1" applyAlignment="1">
      <alignment horizontal="center"/>
    </xf>
    <xf numFmtId="166" fontId="9" fillId="0" borderId="2" xfId="0" applyNumberFormat="1" applyFont="1" applyBorder="1" applyAlignment="1">
      <alignment horizontal="center"/>
    </xf>
    <xf numFmtId="166" fontId="9" fillId="0" borderId="23" xfId="0" applyNumberFormat="1" applyFont="1" applyBorder="1" applyAlignment="1">
      <alignment horizontal="center"/>
    </xf>
    <xf numFmtId="2" fontId="11" fillId="0" borderId="2" xfId="0" applyNumberFormat="1" applyFont="1" applyBorder="1" applyAlignment="1">
      <alignment horizontal="center"/>
    </xf>
    <xf numFmtId="2" fontId="9" fillId="0" borderId="2" xfId="1" applyNumberFormat="1" applyFont="1" applyFill="1" applyBorder="1" applyAlignment="1">
      <alignment horizontal="center"/>
    </xf>
    <xf numFmtId="2" fontId="9" fillId="0" borderId="23" xfId="1" applyNumberFormat="1" applyFont="1" applyFill="1" applyBorder="1" applyAlignment="1">
      <alignment horizontal="center"/>
    </xf>
    <xf numFmtId="2" fontId="9" fillId="2" borderId="2" xfId="1" applyNumberFormat="1" applyFont="1" applyFill="1" applyBorder="1" applyAlignment="1">
      <alignment horizontal="center"/>
    </xf>
    <xf numFmtId="2" fontId="9" fillId="2" borderId="23" xfId="1" applyNumberFormat="1" applyFont="1" applyFill="1" applyBorder="1" applyAlignment="1">
      <alignment horizontal="center"/>
    </xf>
    <xf numFmtId="2" fontId="9" fillId="0" borderId="2" xfId="0" applyNumberFormat="1" applyFont="1" applyBorder="1" applyAlignment="1">
      <alignment horizontal="center"/>
    </xf>
    <xf numFmtId="2" fontId="9" fillId="0" borderId="23" xfId="0" applyNumberFormat="1" applyFont="1" applyBorder="1" applyAlignment="1">
      <alignment horizontal="center"/>
    </xf>
    <xf numFmtId="2" fontId="9" fillId="0" borderId="2" xfId="1" applyNumberFormat="1" applyFont="1" applyBorder="1" applyAlignment="1">
      <alignment horizontal="center"/>
    </xf>
    <xf numFmtId="0" fontId="9" fillId="0" borderId="18" xfId="0" applyFont="1" applyBorder="1" applyAlignment="1">
      <alignment horizontal="center"/>
    </xf>
    <xf numFmtId="2" fontId="9" fillId="0" borderId="23" xfId="1" applyNumberFormat="1" applyFont="1" applyBorder="1" applyAlignment="1">
      <alignment horizontal="center"/>
    </xf>
    <xf numFmtId="0" fontId="9" fillId="0" borderId="14" xfId="0" applyFont="1" applyBorder="1" applyAlignment="1">
      <alignment horizontal="center"/>
    </xf>
    <xf numFmtId="3" fontId="9" fillId="0" borderId="17" xfId="0" applyNumberFormat="1" applyFont="1" applyBorder="1" applyAlignment="1">
      <alignment horizontal="center"/>
    </xf>
    <xf numFmtId="0" fontId="9" fillId="0" borderId="33" xfId="0" applyFont="1" applyBorder="1" applyAlignment="1">
      <alignment horizontal="center"/>
    </xf>
    <xf numFmtId="3" fontId="9" fillId="0" borderId="33" xfId="1" applyNumberFormat="1" applyFont="1" applyBorder="1"/>
    <xf numFmtId="40" fontId="9" fillId="0" borderId="17" xfId="1" applyFont="1" applyBorder="1"/>
    <xf numFmtId="2" fontId="9" fillId="0" borderId="10" xfId="0" applyNumberFormat="1" applyFont="1" applyBorder="1"/>
    <xf numFmtId="0" fontId="9" fillId="0" borderId="15" xfId="0" applyFont="1" applyBorder="1"/>
    <xf numFmtId="3" fontId="9" fillId="0" borderId="24" xfId="0" applyNumberFormat="1" applyFont="1" applyBorder="1" applyAlignment="1">
      <alignment horizontal="center"/>
    </xf>
    <xf numFmtId="0" fontId="9" fillId="0" borderId="31" xfId="0" applyFont="1" applyBorder="1" applyAlignment="1">
      <alignment horizontal="center"/>
    </xf>
    <xf numFmtId="3" fontId="9" fillId="0" borderId="31" xfId="1" applyNumberFormat="1" applyFont="1" applyBorder="1"/>
    <xf numFmtId="40" fontId="9" fillId="0" borderId="23" xfId="1" applyFont="1" applyBorder="1"/>
    <xf numFmtId="2" fontId="12" fillId="0" borderId="24" xfId="0" applyNumberFormat="1" applyFont="1" applyBorder="1"/>
    <xf numFmtId="8" fontId="9" fillId="0" borderId="29" xfId="0" applyNumberFormat="1" applyFont="1" applyBorder="1"/>
    <xf numFmtId="0" fontId="9" fillId="0" borderId="20" xfId="0" applyFont="1" applyBorder="1" applyAlignment="1">
      <alignment horizontal="center"/>
    </xf>
    <xf numFmtId="3" fontId="9" fillId="0" borderId="20" xfId="1" applyNumberFormat="1" applyFont="1" applyBorder="1"/>
    <xf numFmtId="40" fontId="9" fillId="0" borderId="2" xfId="1" applyFont="1" applyBorder="1"/>
    <xf numFmtId="2" fontId="9" fillId="0" borderId="1" xfId="0" applyNumberFormat="1" applyFont="1" applyBorder="1"/>
    <xf numFmtId="2" fontId="9" fillId="0" borderId="24" xfId="0" applyNumberFormat="1" applyFont="1" applyBorder="1"/>
    <xf numFmtId="0" fontId="9" fillId="0" borderId="29" xfId="0" applyFont="1" applyBorder="1"/>
    <xf numFmtId="0" fontId="12" fillId="0" borderId="24" xfId="0" applyFont="1" applyBorder="1"/>
    <xf numFmtId="3" fontId="9" fillId="0" borderId="20" xfId="1" applyNumberFormat="1" applyFont="1" applyFill="1" applyBorder="1"/>
    <xf numFmtId="3" fontId="9" fillId="0" borderId="31" xfId="1" applyNumberFormat="1" applyFont="1" applyFill="1" applyBorder="1"/>
    <xf numFmtId="0" fontId="9" fillId="0" borderId="1" xfId="0" applyFont="1" applyBorder="1"/>
    <xf numFmtId="38" fontId="9" fillId="0" borderId="2" xfId="1" applyNumberFormat="1" applyFont="1" applyBorder="1" applyAlignment="1">
      <alignment horizontal="center"/>
    </xf>
    <xf numFmtId="38" fontId="9" fillId="0" borderId="23" xfId="1" applyNumberFormat="1" applyFont="1" applyBorder="1" applyAlignment="1">
      <alignment horizontal="center"/>
    </xf>
    <xf numFmtId="3" fontId="9" fillId="0" borderId="20" xfId="1" applyNumberFormat="1" applyFont="1" applyFill="1" applyBorder="1" applyAlignment="1">
      <alignment horizontal="right"/>
    </xf>
    <xf numFmtId="167" fontId="9" fillId="0" borderId="4" xfId="5" applyNumberFormat="1" applyFont="1" applyBorder="1" applyAlignment="1">
      <alignment horizontal="left"/>
    </xf>
    <xf numFmtId="3" fontId="9" fillId="0" borderId="20" xfId="0" applyNumberFormat="1" applyFont="1" applyBorder="1" applyAlignment="1">
      <alignment horizontal="center"/>
    </xf>
    <xf numFmtId="3" fontId="9" fillId="0" borderId="31" xfId="0" applyNumberFormat="1" applyFont="1" applyBorder="1" applyAlignment="1">
      <alignment horizontal="center"/>
    </xf>
    <xf numFmtId="167" fontId="9" fillId="0" borderId="4" xfId="5" applyNumberFormat="1" applyFont="1" applyBorder="1"/>
    <xf numFmtId="3" fontId="9" fillId="0" borderId="23" xfId="0" applyNumberFormat="1" applyFont="1" applyBorder="1" applyAlignment="1">
      <alignment horizontal="center"/>
    </xf>
    <xf numFmtId="0" fontId="9" fillId="0" borderId="5" xfId="0" applyFont="1" applyBorder="1" applyAlignment="1">
      <alignment horizontal="center"/>
    </xf>
    <xf numFmtId="0" fontId="10" fillId="0" borderId="0" xfId="0" applyFont="1" applyAlignment="1">
      <alignment horizontal="center"/>
    </xf>
    <xf numFmtId="3" fontId="10" fillId="0" borderId="41" xfId="0" applyNumberFormat="1" applyFont="1" applyBorder="1" applyAlignment="1">
      <alignment horizontal="center" wrapText="1"/>
    </xf>
    <xf numFmtId="2" fontId="9" fillId="0" borderId="2" xfId="1" applyNumberFormat="1" applyFont="1" applyBorder="1" applyAlignment="1"/>
    <xf numFmtId="2" fontId="9" fillId="0" borderId="23" xfId="1" applyNumberFormat="1" applyFont="1" applyBorder="1" applyAlignment="1"/>
    <xf numFmtId="3" fontId="9" fillId="0" borderId="23" xfId="1" applyNumberFormat="1" applyFont="1" applyBorder="1"/>
    <xf numFmtId="164" fontId="9" fillId="0" borderId="23" xfId="0" applyNumberFormat="1" applyFont="1" applyBorder="1"/>
    <xf numFmtId="164" fontId="9" fillId="0" borderId="2" xfId="0" applyNumberFormat="1" applyFont="1" applyBorder="1"/>
    <xf numFmtId="2" fontId="9" fillId="0" borderId="2" xfId="0" applyNumberFormat="1" applyFont="1" applyBorder="1"/>
    <xf numFmtId="38" fontId="9" fillId="0" borderId="13" xfId="1" applyNumberFormat="1" applyFont="1" applyFill="1" applyBorder="1"/>
    <xf numFmtId="164" fontId="9" fillId="0" borderId="13" xfId="0" applyNumberFormat="1" applyFont="1" applyBorder="1"/>
    <xf numFmtId="40" fontId="9" fillId="0" borderId="13" xfId="1" applyFont="1" applyBorder="1"/>
    <xf numFmtId="3" fontId="9" fillId="0" borderId="13" xfId="1" applyNumberFormat="1" applyFont="1" applyBorder="1"/>
    <xf numFmtId="166" fontId="9" fillId="0" borderId="13" xfId="0" applyNumberFormat="1" applyFont="1" applyBorder="1"/>
    <xf numFmtId="2" fontId="9" fillId="0" borderId="13" xfId="0" applyNumberFormat="1" applyFont="1" applyBorder="1"/>
    <xf numFmtId="2" fontId="9" fillId="0" borderId="23" xfId="0" applyNumberFormat="1" applyFont="1" applyBorder="1"/>
    <xf numFmtId="3" fontId="9" fillId="0" borderId="13" xfId="0" applyNumberFormat="1" applyFont="1" applyBorder="1"/>
    <xf numFmtId="2" fontId="9" fillId="0" borderId="17" xfId="1" applyNumberFormat="1" applyFont="1" applyBorder="1" applyAlignment="1"/>
    <xf numFmtId="166" fontId="9" fillId="0" borderId="17" xfId="0" applyNumberFormat="1" applyFont="1" applyBorder="1"/>
    <xf numFmtId="3" fontId="9" fillId="0" borderId="17" xfId="0" applyNumberFormat="1" applyFont="1" applyBorder="1"/>
    <xf numFmtId="0" fontId="9" fillId="0" borderId="11" xfId="0" applyFont="1" applyBorder="1" applyAlignment="1">
      <alignment horizontal="center"/>
    </xf>
    <xf numFmtId="0" fontId="9" fillId="0" borderId="19" xfId="0" applyFont="1" applyBorder="1" applyAlignment="1">
      <alignment horizontal="center"/>
    </xf>
    <xf numFmtId="0" fontId="10" fillId="0" borderId="2" xfId="0" applyFont="1" applyBorder="1" applyAlignment="1">
      <alignment horizontal="center" wrapText="1"/>
    </xf>
    <xf numFmtId="0" fontId="10" fillId="0" borderId="18" xfId="0" applyFont="1" applyBorder="1" applyAlignment="1">
      <alignment horizontal="center" wrapText="1"/>
    </xf>
    <xf numFmtId="38" fontId="22" fillId="0" borderId="2" xfId="0" applyNumberFormat="1" applyFont="1" applyBorder="1" applyAlignment="1">
      <alignment horizontal="center" wrapText="1"/>
    </xf>
    <xf numFmtId="0" fontId="22" fillId="0" borderId="3" xfId="0" applyFont="1" applyBorder="1" applyAlignment="1">
      <alignment horizontal="center" wrapText="1"/>
    </xf>
    <xf numFmtId="0" fontId="22" fillId="0" borderId="2" xfId="0" applyFont="1" applyBorder="1" applyAlignment="1">
      <alignment horizontal="center" wrapText="1"/>
    </xf>
    <xf numFmtId="38" fontId="22" fillId="0" borderId="23" xfId="0" applyNumberFormat="1" applyFont="1" applyBorder="1" applyAlignment="1">
      <alignment horizontal="center" wrapText="1"/>
    </xf>
    <xf numFmtId="0" fontId="22" fillId="0" borderId="18" xfId="0" applyFont="1" applyBorder="1" applyAlignment="1">
      <alignment wrapText="1"/>
    </xf>
    <xf numFmtId="0" fontId="22" fillId="0" borderId="30" xfId="0" applyFont="1" applyBorder="1" applyAlignment="1">
      <alignment horizontal="center" wrapText="1"/>
    </xf>
    <xf numFmtId="0" fontId="22" fillId="0" borderId="23" xfId="0" applyFont="1" applyBorder="1" applyAlignment="1">
      <alignment horizontal="center" wrapText="1"/>
    </xf>
    <xf numFmtId="0" fontId="10" fillId="0" borderId="23" xfId="0" applyFont="1" applyBorder="1" applyAlignment="1">
      <alignment horizontal="center" wrapText="1"/>
    </xf>
    <xf numFmtId="0" fontId="10" fillId="0" borderId="14" xfId="0" applyFont="1" applyBorder="1" applyAlignment="1">
      <alignment horizontal="center" wrapText="1"/>
    </xf>
    <xf numFmtId="0" fontId="22" fillId="0" borderId="14" xfId="0" applyFont="1" applyBorder="1" applyAlignment="1">
      <alignment horizontal="center" wrapText="1"/>
    </xf>
    <xf numFmtId="0" fontId="22" fillId="0" borderId="18" xfId="0" applyFont="1" applyBorder="1" applyAlignment="1">
      <alignment horizontal="center" wrapText="1"/>
    </xf>
    <xf numFmtId="0" fontId="6" fillId="0" borderId="0" xfId="7" applyAlignment="1" applyProtection="1"/>
    <xf numFmtId="3" fontId="9" fillId="0" borderId="23" xfId="1" applyNumberFormat="1" applyFont="1" applyFill="1" applyBorder="1"/>
    <xf numFmtId="3" fontId="9" fillId="0" borderId="28" xfId="1" applyNumberFormat="1" applyFont="1" applyFill="1" applyBorder="1"/>
    <xf numFmtId="38" fontId="9" fillId="0" borderId="13" xfId="1" applyNumberFormat="1" applyFont="1" applyBorder="1" applyAlignment="1">
      <alignment horizontal="center"/>
    </xf>
    <xf numFmtId="0" fontId="9" fillId="0" borderId="19" xfId="0" applyFont="1" applyBorder="1"/>
    <xf numFmtId="0" fontId="9" fillId="0" borderId="13" xfId="0" applyFont="1" applyBorder="1" applyAlignment="1">
      <alignment horizontal="center"/>
    </xf>
    <xf numFmtId="38" fontId="18" fillId="0" borderId="0" xfId="1" applyNumberFormat="1" applyFont="1" applyBorder="1"/>
    <xf numFmtId="2" fontId="18" fillId="0" borderId="0" xfId="0" applyNumberFormat="1" applyFont="1"/>
    <xf numFmtId="3" fontId="18" fillId="0" borderId="0" xfId="0" applyNumberFormat="1" applyFont="1"/>
    <xf numFmtId="38" fontId="18" fillId="0" borderId="0" xfId="1" applyNumberFormat="1" applyFont="1" applyBorder="1" applyAlignment="1"/>
    <xf numFmtId="3" fontId="18" fillId="0" borderId="0" xfId="1" applyNumberFormat="1" applyFont="1" applyBorder="1"/>
    <xf numFmtId="40" fontId="18" fillId="0" borderId="0" xfId="1" applyFont="1" applyBorder="1"/>
    <xf numFmtId="164" fontId="18" fillId="0" borderId="0" xfId="0" applyNumberFormat="1" applyFont="1"/>
    <xf numFmtId="38" fontId="18" fillId="0" borderId="0" xfId="1" applyNumberFormat="1" applyFont="1" applyFill="1" applyBorder="1"/>
    <xf numFmtId="3" fontId="9" fillId="0" borderId="13" xfId="0" applyNumberFormat="1" applyFont="1" applyBorder="1" applyAlignment="1">
      <alignment horizontal="center"/>
    </xf>
    <xf numFmtId="2" fontId="9" fillId="2" borderId="13" xfId="1" applyNumberFormat="1" applyFont="1" applyFill="1" applyBorder="1" applyAlignment="1">
      <alignment horizontal="center"/>
    </xf>
    <xf numFmtId="2" fontId="9" fillId="0" borderId="13" xfId="0" applyNumberFormat="1" applyFont="1" applyBorder="1" applyAlignment="1">
      <alignment horizontal="center"/>
    </xf>
    <xf numFmtId="0" fontId="18" fillId="0" borderId="18" xfId="0" applyFont="1" applyBorder="1"/>
    <xf numFmtId="3" fontId="9" fillId="0" borderId="13" xfId="1" applyNumberFormat="1" applyFont="1" applyFill="1" applyBorder="1"/>
    <xf numFmtId="0" fontId="10" fillId="0" borderId="41" xfId="0" applyFont="1" applyBorder="1" applyAlignment="1">
      <alignment horizontal="center" wrapText="1"/>
    </xf>
    <xf numFmtId="2" fontId="11" fillId="0" borderId="23" xfId="0" applyNumberFormat="1" applyFont="1" applyBorder="1" applyAlignment="1">
      <alignment horizontal="center"/>
    </xf>
    <xf numFmtId="2" fontId="11" fillId="2" borderId="2" xfId="0" applyNumberFormat="1" applyFont="1" applyFill="1" applyBorder="1" applyAlignment="1">
      <alignment horizontal="center"/>
    </xf>
    <xf numFmtId="2" fontId="11" fillId="2" borderId="23" xfId="0" applyNumberFormat="1" applyFont="1" applyFill="1" applyBorder="1" applyAlignment="1">
      <alignment horizontal="center"/>
    </xf>
    <xf numFmtId="2" fontId="11" fillId="2" borderId="13" xfId="0" applyNumberFormat="1" applyFont="1" applyFill="1" applyBorder="1" applyAlignment="1">
      <alignment horizontal="center"/>
    </xf>
    <xf numFmtId="0" fontId="14" fillId="0" borderId="0" xfId="0" applyFont="1" applyAlignment="1">
      <alignment horizontal="centerContinuous"/>
    </xf>
    <xf numFmtId="0" fontId="10" fillId="0" borderId="43" xfId="0" applyFont="1" applyBorder="1" applyAlignment="1">
      <alignment horizontal="center" wrapText="1"/>
    </xf>
    <xf numFmtId="0" fontId="10" fillId="0" borderId="44" xfId="0" applyFont="1" applyBorder="1" applyAlignment="1">
      <alignment horizontal="center" wrapText="1"/>
    </xf>
    <xf numFmtId="0" fontId="10" fillId="0" borderId="42" xfId="0" applyFont="1" applyBorder="1" applyAlignment="1">
      <alignment horizontal="center" wrapText="1"/>
    </xf>
    <xf numFmtId="168" fontId="9" fillId="0" borderId="3" xfId="2" applyNumberFormat="1" applyFont="1" applyBorder="1" applyAlignment="1">
      <alignment horizontal="center"/>
    </xf>
    <xf numFmtId="168" fontId="9" fillId="0" borderId="18" xfId="2" applyNumberFormat="1" applyFont="1" applyBorder="1"/>
    <xf numFmtId="168" fontId="9" fillId="0" borderId="30" xfId="2" applyNumberFormat="1" applyFont="1" applyBorder="1" applyAlignment="1">
      <alignment horizontal="center"/>
    </xf>
    <xf numFmtId="168" fontId="9" fillId="0" borderId="14" xfId="2" applyNumberFormat="1" applyFont="1" applyBorder="1"/>
    <xf numFmtId="3" fontId="11" fillId="0" borderId="3" xfId="2" applyNumberFormat="1" applyFont="1" applyBorder="1"/>
    <xf numFmtId="168" fontId="11" fillId="0" borderId="18" xfId="2" applyNumberFormat="1" applyFont="1" applyBorder="1"/>
    <xf numFmtId="3" fontId="11" fillId="0" borderId="30" xfId="2" applyNumberFormat="1" applyFont="1" applyBorder="1"/>
    <xf numFmtId="168" fontId="11" fillId="0" borderId="14" xfId="2" applyNumberFormat="1" applyFont="1" applyBorder="1"/>
    <xf numFmtId="3" fontId="11" fillId="0" borderId="12" xfId="2" applyNumberFormat="1" applyFont="1" applyBorder="1"/>
    <xf numFmtId="168" fontId="11" fillId="0" borderId="19" xfId="2" applyNumberFormat="1" applyFont="1" applyBorder="1"/>
    <xf numFmtId="3" fontId="9" fillId="0" borderId="3" xfId="2" applyNumberFormat="1" applyFont="1" applyBorder="1"/>
    <xf numFmtId="3" fontId="9" fillId="0" borderId="30" xfId="2" applyNumberFormat="1" applyFont="1" applyBorder="1"/>
    <xf numFmtId="0" fontId="12" fillId="0" borderId="14" xfId="0" applyFont="1" applyBorder="1"/>
    <xf numFmtId="3" fontId="9" fillId="0" borderId="3" xfId="1" applyNumberFormat="1" applyFont="1" applyFill="1" applyBorder="1"/>
    <xf numFmtId="3" fontId="9" fillId="0" borderId="12" xfId="1" applyNumberFormat="1" applyFont="1" applyFill="1" applyBorder="1"/>
    <xf numFmtId="3" fontId="10" fillId="0" borderId="40" xfId="0" applyNumberFormat="1" applyFont="1" applyBorder="1" applyAlignment="1">
      <alignment horizontal="center" wrapText="1"/>
    </xf>
    <xf numFmtId="3" fontId="9" fillId="0" borderId="5" xfId="2" applyNumberFormat="1" applyFont="1" applyBorder="1"/>
    <xf numFmtId="3" fontId="9" fillId="0" borderId="32" xfId="2" applyNumberFormat="1" applyFont="1" applyBorder="1"/>
    <xf numFmtId="3" fontId="9" fillId="0" borderId="34" xfId="2" applyNumberFormat="1" applyFont="1" applyBorder="1"/>
    <xf numFmtId="3" fontId="9" fillId="0" borderId="5" xfId="0" applyNumberFormat="1" applyFont="1" applyBorder="1"/>
    <xf numFmtId="3" fontId="9" fillId="0" borderId="32" xfId="0" applyNumberFormat="1" applyFont="1" applyBorder="1"/>
    <xf numFmtId="3" fontId="9" fillId="0" borderId="12" xfId="2" applyNumberFormat="1" applyFont="1" applyBorder="1"/>
    <xf numFmtId="38" fontId="9" fillId="0" borderId="1" xfId="1" applyNumberFormat="1" applyFont="1" applyBorder="1"/>
    <xf numFmtId="38" fontId="9" fillId="0" borderId="24" xfId="1" applyNumberFormat="1" applyFont="1" applyBorder="1"/>
    <xf numFmtId="38" fontId="9" fillId="0" borderId="1" xfId="1" applyNumberFormat="1" applyFont="1" applyFill="1" applyBorder="1"/>
    <xf numFmtId="38" fontId="9" fillId="0" borderId="24" xfId="1" applyNumberFormat="1" applyFont="1" applyFill="1" applyBorder="1"/>
    <xf numFmtId="38" fontId="11" fillId="0" borderId="1" xfId="1" applyNumberFormat="1" applyFont="1" applyFill="1" applyBorder="1"/>
    <xf numFmtId="0" fontId="9" fillId="0" borderId="12" xfId="0" applyFont="1" applyBorder="1" applyAlignment="1">
      <alignment horizontal="centerContinuous"/>
    </xf>
    <xf numFmtId="0" fontId="9" fillId="0" borderId="3" xfId="0" applyFont="1" applyBorder="1" applyAlignment="1">
      <alignment horizontal="centerContinuous"/>
    </xf>
    <xf numFmtId="0" fontId="9" fillId="0" borderId="30" xfId="0" applyFont="1" applyBorder="1" applyAlignment="1">
      <alignment horizontal="centerContinuous"/>
    </xf>
    <xf numFmtId="0" fontId="9" fillId="0" borderId="5" xfId="0" applyFont="1" applyBorder="1" applyAlignment="1">
      <alignment horizontal="centerContinuous"/>
    </xf>
    <xf numFmtId="38" fontId="9" fillId="0" borderId="2" xfId="0" applyNumberFormat="1" applyFont="1" applyBorder="1" applyAlignment="1">
      <alignment horizontal="right"/>
    </xf>
    <xf numFmtId="0" fontId="10" fillId="0" borderId="40" xfId="0" applyFont="1" applyBorder="1" applyAlignment="1">
      <alignment horizontal="center" wrapText="1"/>
    </xf>
    <xf numFmtId="38" fontId="9" fillId="0" borderId="4" xfId="1" applyNumberFormat="1" applyFont="1" applyBorder="1"/>
    <xf numFmtId="38" fontId="9" fillId="0" borderId="29" xfId="1" applyNumberFormat="1" applyFont="1" applyBorder="1"/>
    <xf numFmtId="38" fontId="9" fillId="0" borderId="4" xfId="1" applyNumberFormat="1" applyFont="1" applyFill="1" applyBorder="1"/>
    <xf numFmtId="38" fontId="9" fillId="0" borderId="29" xfId="1" applyNumberFormat="1" applyFont="1" applyFill="1" applyBorder="1"/>
    <xf numFmtId="38" fontId="11" fillId="0" borderId="4" xfId="1" applyNumberFormat="1" applyFont="1" applyFill="1" applyBorder="1"/>
    <xf numFmtId="0" fontId="26" fillId="0" borderId="57" xfId="0" applyFont="1" applyBorder="1" applyAlignment="1">
      <alignment horizontal="center"/>
    </xf>
    <xf numFmtId="3" fontId="26" fillId="0" borderId="56" xfId="0" applyNumberFormat="1" applyFont="1" applyBorder="1" applyAlignment="1">
      <alignment horizontal="right"/>
    </xf>
    <xf numFmtId="165" fontId="26" fillId="0" borderId="58" xfId="0" applyNumberFormat="1" applyFont="1" applyBorder="1"/>
    <xf numFmtId="0" fontId="25" fillId="0" borderId="0" xfId="0" applyFont="1"/>
    <xf numFmtId="0" fontId="26" fillId="0" borderId="0" xfId="0" applyFont="1"/>
    <xf numFmtId="0" fontId="26" fillId="0" borderId="37" xfId="0" applyFont="1" applyBorder="1"/>
    <xf numFmtId="0" fontId="27" fillId="0" borderId="39" xfId="7" applyFont="1" applyBorder="1" applyAlignment="1" applyProtection="1"/>
    <xf numFmtId="0" fontId="26" fillId="0" borderId="40" xfId="0" applyFont="1" applyBorder="1"/>
    <xf numFmtId="0" fontId="10" fillId="0" borderId="60" xfId="0" applyFont="1" applyBorder="1" applyAlignment="1">
      <alignment horizontal="center" wrapText="1"/>
    </xf>
    <xf numFmtId="3" fontId="9" fillId="0" borderId="33" xfId="0" applyNumberFormat="1" applyFont="1" applyBorder="1"/>
    <xf numFmtId="3" fontId="9" fillId="0" borderId="21" xfId="0" applyNumberFormat="1" applyFont="1" applyBorder="1"/>
    <xf numFmtId="0" fontId="9" fillId="0" borderId="10" xfId="0" applyFont="1" applyBorder="1" applyAlignment="1">
      <alignment horizontal="center"/>
    </xf>
    <xf numFmtId="0" fontId="9" fillId="0" borderId="1" xfId="0" applyFont="1" applyBorder="1" applyAlignment="1">
      <alignment horizontal="center"/>
    </xf>
    <xf numFmtId="0" fontId="9" fillId="0" borderId="24" xfId="0" applyFont="1" applyBorder="1" applyAlignment="1">
      <alignment horizontal="center"/>
    </xf>
    <xf numFmtId="3" fontId="9" fillId="0" borderId="63" xfId="0" applyNumberFormat="1" applyFont="1" applyBorder="1" applyAlignment="1">
      <alignment horizontal="right"/>
    </xf>
    <xf numFmtId="3" fontId="9" fillId="0" borderId="1" xfId="0" applyNumberFormat="1" applyFont="1" applyBorder="1" applyAlignment="1">
      <alignment horizontal="right"/>
    </xf>
    <xf numFmtId="3" fontId="9" fillId="0" borderId="24" xfId="0" applyNumberFormat="1" applyFont="1" applyBorder="1" applyAlignment="1">
      <alignment horizontal="right"/>
    </xf>
    <xf numFmtId="0" fontId="9" fillId="0" borderId="9" xfId="0" applyFont="1" applyBorder="1"/>
    <xf numFmtId="0" fontId="9" fillId="0" borderId="3" xfId="0" applyFont="1" applyBorder="1"/>
    <xf numFmtId="38" fontId="9" fillId="0" borderId="12" xfId="1" applyNumberFormat="1" applyFont="1" applyBorder="1"/>
    <xf numFmtId="38" fontId="9" fillId="0" borderId="3" xfId="1" applyNumberFormat="1" applyFont="1" applyBorder="1"/>
    <xf numFmtId="38" fontId="9" fillId="0" borderId="3" xfId="1" applyNumberFormat="1" applyFont="1" applyBorder="1" applyAlignment="1"/>
    <xf numFmtId="38" fontId="9" fillId="0" borderId="30" xfId="1" applyNumberFormat="1" applyFont="1" applyBorder="1" applyAlignment="1"/>
    <xf numFmtId="38" fontId="9" fillId="0" borderId="12" xfId="1" applyNumberFormat="1" applyFont="1" applyBorder="1" applyAlignment="1"/>
    <xf numFmtId="0" fontId="9" fillId="0" borderId="5" xfId="0" applyFont="1" applyBorder="1"/>
    <xf numFmtId="3" fontId="18" fillId="0" borderId="4" xfId="0" applyNumberFormat="1" applyFont="1" applyBorder="1"/>
    <xf numFmtId="0" fontId="19" fillId="0" borderId="16" xfId="0" applyFont="1" applyBorder="1" applyAlignment="1">
      <alignment horizontal="center"/>
    </xf>
    <xf numFmtId="3" fontId="9" fillId="0" borderId="45" xfId="0" applyNumberFormat="1" applyFont="1" applyBorder="1" applyAlignment="1">
      <alignment horizontal="center"/>
    </xf>
    <xf numFmtId="3" fontId="19" fillId="0" borderId="45" xfId="0" applyNumberFormat="1" applyFont="1" applyBorder="1"/>
    <xf numFmtId="38" fontId="19" fillId="0" borderId="45" xfId="1" applyNumberFormat="1" applyFont="1" applyBorder="1"/>
    <xf numFmtId="40" fontId="19" fillId="0" borderId="45" xfId="1" applyFont="1" applyBorder="1"/>
    <xf numFmtId="2" fontId="19" fillId="0" borderId="45" xfId="0" applyNumberFormat="1" applyFont="1" applyBorder="1"/>
    <xf numFmtId="38" fontId="19" fillId="0" borderId="45" xfId="1" applyNumberFormat="1" applyFont="1" applyBorder="1" applyAlignment="1">
      <alignment horizontal="center"/>
    </xf>
    <xf numFmtId="0" fontId="18" fillId="0" borderId="15" xfId="0" applyFont="1" applyBorder="1"/>
    <xf numFmtId="0" fontId="22" fillId="0" borderId="9" xfId="0" applyFont="1" applyBorder="1" applyAlignment="1">
      <alignment horizontal="center" wrapText="1"/>
    </xf>
    <xf numFmtId="38" fontId="22" fillId="0" borderId="17" xfId="0" applyNumberFormat="1" applyFont="1" applyBorder="1" applyAlignment="1">
      <alignment horizontal="center" wrapText="1"/>
    </xf>
    <xf numFmtId="0" fontId="22" fillId="0" borderId="17" xfId="0" applyFont="1" applyBorder="1" applyAlignment="1">
      <alignment horizontal="center" wrapText="1"/>
    </xf>
    <xf numFmtId="2" fontId="9" fillId="0" borderId="13" xfId="1" applyNumberFormat="1" applyFont="1" applyBorder="1" applyAlignment="1">
      <alignment horizontal="center"/>
    </xf>
    <xf numFmtId="2" fontId="9" fillId="0" borderId="17" xfId="1" applyNumberFormat="1" applyFont="1" applyBorder="1" applyAlignment="1">
      <alignment horizontal="center"/>
    </xf>
    <xf numFmtId="3" fontId="9" fillId="0" borderId="1" xfId="1" applyNumberFormat="1" applyFont="1" applyFill="1" applyBorder="1"/>
    <xf numFmtId="3" fontId="9" fillId="0" borderId="1" xfId="2" applyNumberFormat="1" applyFont="1" applyBorder="1"/>
    <xf numFmtId="3" fontId="9" fillId="0" borderId="63" xfId="1" applyNumberFormat="1" applyFont="1" applyFill="1" applyBorder="1"/>
    <xf numFmtId="3" fontId="9" fillId="0" borderId="16" xfId="2" applyNumberFormat="1" applyFont="1" applyBorder="1"/>
    <xf numFmtId="3" fontId="9" fillId="0" borderId="17" xfId="2" applyNumberFormat="1" applyFont="1" applyBorder="1"/>
    <xf numFmtId="168" fontId="9" fillId="0" borderId="9" xfId="2" applyNumberFormat="1" applyFont="1" applyBorder="1" applyAlignment="1">
      <alignment horizontal="center"/>
    </xf>
    <xf numFmtId="3" fontId="9" fillId="0" borderId="33" xfId="2" applyNumberFormat="1" applyFont="1" applyBorder="1"/>
    <xf numFmtId="168" fontId="9" fillId="0" borderId="17" xfId="2" applyNumberFormat="1" applyFont="1" applyBorder="1"/>
    <xf numFmtId="168" fontId="9" fillId="0" borderId="11" xfId="2" applyNumberFormat="1" applyFont="1" applyBorder="1"/>
    <xf numFmtId="168" fontId="9" fillId="0" borderId="17" xfId="2" applyNumberFormat="1" applyFont="1" applyBorder="1" applyAlignment="1">
      <alignment horizontal="center"/>
    </xf>
    <xf numFmtId="168" fontId="9" fillId="0" borderId="33" xfId="2" applyNumberFormat="1" applyFont="1" applyBorder="1"/>
    <xf numFmtId="3" fontId="9" fillId="0" borderId="24" xfId="2" applyNumberFormat="1" applyFont="1" applyBorder="1"/>
    <xf numFmtId="0" fontId="9" fillId="0" borderId="64" xfId="0" applyFont="1" applyBorder="1" applyAlignment="1">
      <alignment horizontal="center"/>
    </xf>
    <xf numFmtId="0" fontId="9" fillId="0" borderId="65" xfId="0" applyFont="1" applyBorder="1" applyAlignment="1">
      <alignment horizontal="center"/>
    </xf>
    <xf numFmtId="0" fontId="9" fillId="0" borderId="66" xfId="0" applyFont="1" applyBorder="1" applyAlignment="1">
      <alignment horizontal="center"/>
    </xf>
    <xf numFmtId="0" fontId="9" fillId="0" borderId="67" xfId="0" applyFont="1" applyBorder="1" applyAlignment="1">
      <alignment horizontal="center"/>
    </xf>
    <xf numFmtId="168" fontId="9" fillId="0" borderId="10" xfId="2" applyNumberFormat="1" applyFont="1" applyBorder="1" applyAlignment="1">
      <alignment horizontal="center"/>
    </xf>
    <xf numFmtId="168" fontId="9" fillId="0" borderId="1" xfId="2" applyNumberFormat="1" applyFont="1" applyBorder="1" applyAlignment="1">
      <alignment horizontal="center"/>
    </xf>
    <xf numFmtId="168" fontId="9" fillId="0" borderId="24" xfId="2" applyNumberFormat="1" applyFont="1" applyBorder="1" applyAlignment="1">
      <alignment horizontal="center"/>
    </xf>
    <xf numFmtId="3" fontId="11" fillId="0" borderId="1" xfId="2" applyNumberFormat="1" applyFont="1" applyBorder="1"/>
    <xf numFmtId="3" fontId="11" fillId="0" borderId="24" xfId="2" applyNumberFormat="1" applyFont="1" applyBorder="1"/>
    <xf numFmtId="3" fontId="11" fillId="0" borderId="63" xfId="2" applyNumberFormat="1" applyFont="1" applyBorder="1"/>
    <xf numFmtId="0" fontId="9" fillId="0" borderId="64" xfId="0" applyFont="1" applyBorder="1" applyAlignment="1">
      <alignment horizontal="left" vertical="top"/>
    </xf>
    <xf numFmtId="0" fontId="9" fillId="0" borderId="65" xfId="0" applyFont="1" applyBorder="1" applyAlignment="1">
      <alignment horizontal="left" vertical="top"/>
    </xf>
    <xf numFmtId="0" fontId="9" fillId="0" borderId="66" xfId="0" applyFont="1" applyBorder="1" applyAlignment="1">
      <alignment horizontal="left" vertical="top"/>
    </xf>
    <xf numFmtId="0" fontId="9" fillId="0" borderId="67" xfId="0" applyFont="1" applyBorder="1" applyAlignment="1">
      <alignment horizontal="left" vertical="top"/>
    </xf>
    <xf numFmtId="0" fontId="27" fillId="0" borderId="0" xfId="7" applyFont="1" applyBorder="1" applyAlignment="1" applyProtection="1"/>
    <xf numFmtId="3" fontId="26" fillId="0" borderId="0" xfId="0" quotePrefix="1" applyNumberFormat="1" applyFont="1" applyAlignment="1" applyProtection="1">
      <alignment horizontal="right"/>
      <protection locked="0"/>
    </xf>
    <xf numFmtId="3" fontId="28" fillId="0" borderId="0" xfId="0" applyNumberFormat="1" applyFont="1" applyAlignment="1" applyProtection="1">
      <alignment horizontal="right"/>
      <protection locked="0"/>
    </xf>
    <xf numFmtId="3" fontId="26" fillId="0" borderId="0" xfId="0" applyNumberFormat="1" applyFont="1"/>
    <xf numFmtId="3" fontId="26" fillId="0" borderId="0" xfId="0" applyNumberFormat="1" applyFont="1" applyAlignment="1" applyProtection="1">
      <alignment horizontal="right"/>
      <protection locked="0"/>
    </xf>
    <xf numFmtId="0" fontId="9" fillId="0" borderId="45" xfId="0" applyFont="1" applyBorder="1" applyAlignment="1">
      <alignment horizontal="center"/>
    </xf>
    <xf numFmtId="0" fontId="9" fillId="0" borderId="28" xfId="0" applyFont="1" applyBorder="1" applyAlignment="1">
      <alignment horizontal="center"/>
    </xf>
    <xf numFmtId="3" fontId="9" fillId="0" borderId="68" xfId="0" applyNumberFormat="1" applyFont="1" applyBorder="1" applyAlignment="1">
      <alignment horizontal="right"/>
    </xf>
    <xf numFmtId="3" fontId="9" fillId="0" borderId="0" xfId="0" applyNumberFormat="1" applyFont="1" applyAlignment="1">
      <alignment horizontal="right"/>
    </xf>
    <xf numFmtId="3" fontId="9" fillId="0" borderId="28" xfId="0" applyNumberFormat="1" applyFont="1" applyBorder="1" applyAlignment="1">
      <alignment horizontal="right"/>
    </xf>
    <xf numFmtId="0" fontId="10" fillId="0" borderId="9" xfId="0" applyFont="1" applyBorder="1" applyAlignment="1">
      <alignment horizontal="center" wrapText="1"/>
    </xf>
    <xf numFmtId="0" fontId="10" fillId="0" borderId="15" xfId="0" applyFont="1" applyBorder="1" applyAlignment="1">
      <alignment horizontal="center" wrapText="1"/>
    </xf>
    <xf numFmtId="0" fontId="9" fillId="0" borderId="37" xfId="0" applyFont="1" applyBorder="1" applyAlignment="1">
      <alignment horizontal="center"/>
    </xf>
    <xf numFmtId="38" fontId="9" fillId="0" borderId="46" xfId="1" applyNumberFormat="1" applyFont="1" applyFill="1" applyBorder="1" applyAlignment="1">
      <alignment horizontal="right"/>
    </xf>
    <xf numFmtId="38" fontId="9" fillId="0" borderId="4" xfId="1" applyNumberFormat="1" applyFont="1" applyFill="1" applyBorder="1" applyAlignment="1">
      <alignment horizontal="right"/>
    </xf>
    <xf numFmtId="38" fontId="9" fillId="0" borderId="48" xfId="1" applyNumberFormat="1" applyFont="1" applyFill="1" applyBorder="1" applyAlignment="1">
      <alignment horizontal="right"/>
    </xf>
    <xf numFmtId="38" fontId="9" fillId="0" borderId="4" xfId="1" applyNumberFormat="1" applyFont="1" applyBorder="1" applyAlignment="1">
      <alignment horizontal="right"/>
    </xf>
    <xf numFmtId="38" fontId="9" fillId="0" borderId="19" xfId="1" applyNumberFormat="1" applyFont="1" applyBorder="1" applyAlignment="1">
      <alignment horizontal="right"/>
    </xf>
    <xf numFmtId="38" fontId="9" fillId="0" borderId="18" xfId="1" applyNumberFormat="1" applyFont="1" applyBorder="1" applyAlignment="1">
      <alignment horizontal="right"/>
    </xf>
    <xf numFmtId="0" fontId="10" fillId="0" borderId="69" xfId="0" applyFont="1" applyBorder="1" applyAlignment="1">
      <alignment horizontal="center" wrapText="1"/>
    </xf>
    <xf numFmtId="38" fontId="9" fillId="0" borderId="4" xfId="0" applyNumberFormat="1" applyFont="1" applyBorder="1" applyAlignment="1">
      <alignment horizontal="right"/>
    </xf>
    <xf numFmtId="38" fontId="9" fillId="0" borderId="48" xfId="1" applyNumberFormat="1" applyFont="1" applyFill="1" applyBorder="1"/>
    <xf numFmtId="38" fontId="9" fillId="0" borderId="15" xfId="1" applyNumberFormat="1" applyFont="1" applyBorder="1"/>
    <xf numFmtId="38" fontId="11" fillId="0" borderId="2" xfId="1" applyNumberFormat="1" applyFont="1" applyFill="1" applyBorder="1"/>
    <xf numFmtId="0" fontId="27" fillId="0" borderId="42" xfId="7" applyFont="1" applyBorder="1" applyAlignment="1" applyProtection="1"/>
    <xf numFmtId="0" fontId="26" fillId="0" borderId="0" xfId="0" applyFont="1" applyAlignment="1">
      <alignment horizontal="center"/>
    </xf>
    <xf numFmtId="0" fontId="26" fillId="0" borderId="0" xfId="0" applyFont="1" applyAlignment="1">
      <alignment horizontal="right"/>
    </xf>
    <xf numFmtId="0" fontId="9" fillId="0" borderId="26" xfId="0" applyFont="1" applyBorder="1" applyAlignment="1">
      <alignment horizontal="center"/>
    </xf>
    <xf numFmtId="3" fontId="9" fillId="0" borderId="25" xfId="0" applyNumberFormat="1" applyFont="1" applyBorder="1"/>
    <xf numFmtId="3" fontId="9" fillId="0" borderId="25" xfId="1" applyNumberFormat="1" applyFont="1" applyBorder="1"/>
    <xf numFmtId="38" fontId="9" fillId="0" borderId="25" xfId="1" applyNumberFormat="1" applyFont="1" applyBorder="1"/>
    <xf numFmtId="2" fontId="9" fillId="0" borderId="25" xfId="0" applyNumberFormat="1" applyFont="1" applyBorder="1"/>
    <xf numFmtId="166" fontId="9" fillId="0" borderId="25" xfId="0" applyNumberFormat="1" applyFont="1" applyBorder="1"/>
    <xf numFmtId="40" fontId="9" fillId="0" borderId="25" xfId="1" applyFont="1" applyBorder="1"/>
    <xf numFmtId="164" fontId="9" fillId="0" borderId="25" xfId="0" applyNumberFormat="1" applyFont="1" applyBorder="1"/>
    <xf numFmtId="38" fontId="9" fillId="0" borderId="25" xfId="1" applyNumberFormat="1" applyFont="1" applyFill="1" applyBorder="1"/>
    <xf numFmtId="3" fontId="9" fillId="0" borderId="25" xfId="0" applyNumberFormat="1" applyFont="1" applyBorder="1" applyAlignment="1">
      <alignment horizontal="right"/>
    </xf>
    <xf numFmtId="0" fontId="9" fillId="0" borderId="27" xfId="0" applyFont="1" applyBorder="1" applyAlignment="1">
      <alignment horizontal="center"/>
    </xf>
    <xf numFmtId="3" fontId="9" fillId="0" borderId="25" xfId="0" applyNumberFormat="1" applyFont="1" applyBorder="1" applyAlignment="1">
      <alignment horizontal="center"/>
    </xf>
    <xf numFmtId="38" fontId="9" fillId="0" borderId="25" xfId="1" applyNumberFormat="1" applyFont="1" applyBorder="1" applyAlignment="1">
      <alignment horizontal="center"/>
    </xf>
    <xf numFmtId="0" fontId="9" fillId="0" borderId="27" xfId="0" applyFont="1" applyBorder="1"/>
    <xf numFmtId="2" fontId="9" fillId="0" borderId="13" xfId="1" applyNumberFormat="1" applyFont="1" applyFill="1" applyBorder="1" applyAlignment="1">
      <alignment horizontal="center"/>
    </xf>
    <xf numFmtId="2" fontId="11" fillId="0" borderId="13" xfId="0" applyNumberFormat="1" applyFont="1" applyBorder="1" applyAlignment="1">
      <alignment horizontal="center"/>
    </xf>
    <xf numFmtId="0" fontId="9" fillId="0" borderId="25" xfId="0" applyFont="1" applyBorder="1" applyAlignment="1">
      <alignment horizontal="center"/>
    </xf>
    <xf numFmtId="2" fontId="9" fillId="0" borderId="25" xfId="1" applyNumberFormat="1" applyFont="1" applyFill="1" applyBorder="1" applyAlignment="1">
      <alignment horizontal="center"/>
    </xf>
    <xf numFmtId="2" fontId="9" fillId="0" borderId="25" xfId="0" applyNumberFormat="1" applyFont="1" applyBorder="1" applyAlignment="1">
      <alignment horizontal="center"/>
    </xf>
    <xf numFmtId="2" fontId="11" fillId="0" borderId="25" xfId="0" applyNumberFormat="1" applyFont="1" applyBorder="1" applyAlignment="1">
      <alignment horizontal="center"/>
    </xf>
    <xf numFmtId="2" fontId="9" fillId="0" borderId="25" xfId="1" applyNumberFormat="1" applyFont="1" applyBorder="1" applyAlignment="1">
      <alignment horizontal="center"/>
    </xf>
    <xf numFmtId="0" fontId="9" fillId="0" borderId="4" xfId="0" applyFont="1" applyBorder="1" applyAlignment="1">
      <alignment horizontal="left" vertical="top"/>
    </xf>
    <xf numFmtId="3" fontId="9" fillId="0" borderId="18" xfId="0" applyNumberFormat="1" applyFont="1" applyBorder="1"/>
    <xf numFmtId="38" fontId="9" fillId="0" borderId="1" xfId="1" applyNumberFormat="1" applyFont="1" applyBorder="1" applyAlignment="1"/>
    <xf numFmtId="3" fontId="9" fillId="0" borderId="2" xfId="0" applyNumberFormat="1" applyFont="1" applyBorder="1" applyAlignment="1">
      <alignment horizontal="right"/>
    </xf>
    <xf numFmtId="0" fontId="10" fillId="0" borderId="17" xfId="0" applyFont="1" applyBorder="1" applyAlignment="1">
      <alignment horizontal="center" wrapText="1"/>
    </xf>
    <xf numFmtId="0" fontId="10" fillId="0" borderId="11" xfId="0" applyFont="1" applyBorder="1" applyAlignment="1">
      <alignment horizontal="center" wrapText="1"/>
    </xf>
    <xf numFmtId="3" fontId="9" fillId="0" borderId="25" xfId="1" applyNumberFormat="1" applyFont="1" applyFill="1" applyBorder="1"/>
    <xf numFmtId="3" fontId="9" fillId="0" borderId="25" xfId="2" applyNumberFormat="1" applyFont="1" applyBorder="1"/>
    <xf numFmtId="2" fontId="37" fillId="0" borderId="2" xfId="0" applyNumberFormat="1" applyFont="1" applyBorder="1"/>
    <xf numFmtId="0" fontId="26" fillId="0" borderId="40" xfId="0" applyFont="1" applyBorder="1" applyAlignment="1">
      <alignment horizontal="center"/>
    </xf>
    <xf numFmtId="3" fontId="35" fillId="0" borderId="56" xfId="1" applyNumberFormat="1" applyFont="1" applyBorder="1"/>
    <xf numFmtId="38" fontId="36" fillId="0" borderId="2" xfId="0" applyNumberFormat="1" applyFont="1" applyBorder="1"/>
    <xf numFmtId="3" fontId="11" fillId="0" borderId="25" xfId="2" applyNumberFormat="1" applyFont="1" applyBorder="1"/>
    <xf numFmtId="2" fontId="11" fillId="0" borderId="25" xfId="2" applyNumberFormat="1" applyFont="1" applyBorder="1"/>
    <xf numFmtId="2" fontId="11" fillId="0" borderId="25" xfId="2" applyNumberFormat="1" applyFont="1" applyBorder="1" applyAlignment="1">
      <alignment horizontal="right"/>
    </xf>
    <xf numFmtId="3" fontId="9" fillId="0" borderId="26" xfId="2" applyNumberFormat="1" applyFont="1" applyBorder="1"/>
    <xf numFmtId="0" fontId="9" fillId="0" borderId="7" xfId="0" applyFont="1" applyBorder="1" applyAlignment="1">
      <alignment horizontal="left" vertical="top"/>
    </xf>
    <xf numFmtId="168" fontId="9" fillId="0" borderId="18" xfId="1" applyNumberFormat="1" applyFont="1" applyBorder="1" applyAlignment="1">
      <alignment horizontal="right"/>
    </xf>
    <xf numFmtId="168" fontId="9" fillId="0" borderId="27" xfId="1" applyNumberFormat="1" applyFont="1" applyBorder="1" applyAlignment="1">
      <alignment horizontal="right"/>
    </xf>
    <xf numFmtId="168" fontId="9" fillId="0" borderId="25" xfId="1" applyNumberFormat="1" applyFont="1" applyBorder="1"/>
    <xf numFmtId="0" fontId="9" fillId="0" borderId="7" xfId="0" applyFont="1" applyBorder="1" applyAlignment="1">
      <alignment horizontal="center"/>
    </xf>
    <xf numFmtId="3" fontId="38" fillId="0" borderId="70" xfId="76" applyNumberFormat="1" applyFont="1" applyBorder="1"/>
    <xf numFmtId="168" fontId="9" fillId="0" borderId="70" xfId="1" applyNumberFormat="1" applyFont="1" applyBorder="1" applyAlignment="1"/>
    <xf numFmtId="3" fontId="9" fillId="0" borderId="27" xfId="0" applyNumberFormat="1" applyFont="1" applyBorder="1"/>
    <xf numFmtId="38" fontId="36" fillId="0" borderId="25" xfId="0" applyNumberFormat="1" applyFont="1" applyBorder="1"/>
    <xf numFmtId="38" fontId="9" fillId="0" borderId="7" xfId="1" applyNumberFormat="1" applyFont="1" applyFill="1" applyBorder="1"/>
    <xf numFmtId="38" fontId="9" fillId="0" borderId="2" xfId="1" applyNumberFormat="1" applyFont="1" applyBorder="1" applyAlignment="1">
      <alignment vertical="center"/>
    </xf>
    <xf numFmtId="38" fontId="9" fillId="2" borderId="2" xfId="1" applyNumberFormat="1" applyFont="1" applyFill="1" applyBorder="1" applyAlignment="1">
      <alignment vertical="center"/>
    </xf>
    <xf numFmtId="38" fontId="9" fillId="0" borderId="23" xfId="1" applyNumberFormat="1" applyFont="1" applyBorder="1" applyAlignment="1">
      <alignment vertical="center"/>
    </xf>
    <xf numFmtId="38" fontId="9" fillId="2" borderId="23" xfId="1" applyNumberFormat="1" applyFont="1" applyFill="1" applyBorder="1" applyAlignment="1">
      <alignment vertical="center"/>
    </xf>
    <xf numFmtId="38" fontId="9" fillId="0" borderId="2" xfId="1" applyNumberFormat="1" applyFont="1" applyFill="1" applyBorder="1" applyAlignment="1">
      <alignment vertical="center"/>
    </xf>
    <xf numFmtId="38" fontId="9" fillId="0" borderId="23" xfId="1" applyNumberFormat="1" applyFont="1" applyFill="1" applyBorder="1" applyAlignment="1">
      <alignment vertical="center"/>
    </xf>
    <xf numFmtId="38" fontId="9" fillId="0" borderId="1" xfId="1" applyNumberFormat="1" applyFont="1" applyBorder="1" applyAlignment="1">
      <alignment vertical="center"/>
    </xf>
    <xf numFmtId="38" fontId="9" fillId="0" borderId="0" xfId="1" applyNumberFormat="1" applyFont="1" applyBorder="1" applyAlignment="1">
      <alignment vertical="center"/>
    </xf>
    <xf numFmtId="38" fontId="9" fillId="0" borderId="13" xfId="1" applyNumberFormat="1" applyFont="1" applyBorder="1" applyAlignment="1">
      <alignment vertical="center"/>
    </xf>
    <xf numFmtId="37" fontId="9" fillId="0" borderId="25" xfId="1" applyNumberFormat="1" applyFont="1" applyBorder="1" applyAlignment="1">
      <alignment vertical="center"/>
    </xf>
    <xf numFmtId="38" fontId="22" fillId="0" borderId="17" xfId="0" applyNumberFormat="1" applyFont="1" applyBorder="1" applyAlignment="1">
      <alignment vertical="center"/>
    </xf>
    <xf numFmtId="37" fontId="22" fillId="0" borderId="2" xfId="0" applyNumberFormat="1" applyFont="1" applyBorder="1" applyAlignment="1">
      <alignment vertical="center"/>
    </xf>
    <xf numFmtId="37" fontId="22" fillId="0" borderId="23" xfId="0" applyNumberFormat="1" applyFont="1" applyBorder="1" applyAlignment="1">
      <alignment vertical="center"/>
    </xf>
    <xf numFmtId="38" fontId="22" fillId="2" borderId="2" xfId="0" applyNumberFormat="1" applyFont="1" applyFill="1" applyBorder="1" applyAlignment="1">
      <alignment vertical="center"/>
    </xf>
    <xf numFmtId="38" fontId="22" fillId="2" borderId="23" xfId="0" applyNumberFormat="1" applyFont="1" applyFill="1" applyBorder="1" applyAlignment="1">
      <alignment vertical="center"/>
    </xf>
    <xf numFmtId="38" fontId="9" fillId="2" borderId="13" xfId="1" applyNumberFormat="1" applyFont="1" applyFill="1" applyBorder="1" applyAlignment="1">
      <alignment vertical="center"/>
    </xf>
    <xf numFmtId="168" fontId="9" fillId="2" borderId="25" xfId="1" applyNumberFormat="1" applyFont="1" applyFill="1" applyBorder="1" applyAlignment="1">
      <alignment vertical="center"/>
    </xf>
    <xf numFmtId="38" fontId="22" fillId="0" borderId="2" xfId="0" applyNumberFormat="1" applyFont="1" applyBorder="1" applyAlignment="1">
      <alignment vertical="center"/>
    </xf>
    <xf numFmtId="38" fontId="22" fillId="0" borderId="23" xfId="0" applyNumberFormat="1" applyFont="1" applyBorder="1" applyAlignment="1">
      <alignment vertical="center"/>
    </xf>
    <xf numFmtId="38" fontId="9" fillId="0" borderId="13" xfId="1" applyNumberFormat="1" applyFont="1" applyFill="1" applyBorder="1" applyAlignment="1">
      <alignment vertical="center"/>
    </xf>
    <xf numFmtId="38" fontId="9" fillId="0" borderId="25" xfId="1" applyNumberFormat="1" applyFont="1" applyFill="1" applyBorder="1" applyAlignment="1">
      <alignment vertical="center"/>
    </xf>
    <xf numFmtId="38" fontId="22" fillId="0" borderId="13" xfId="0" applyNumberFormat="1" applyFont="1" applyBorder="1" applyAlignment="1">
      <alignment vertical="center"/>
    </xf>
    <xf numFmtId="38" fontId="9" fillId="0" borderId="17" xfId="1" applyNumberFormat="1" applyFont="1" applyFill="1" applyBorder="1" applyAlignment="1">
      <alignment vertical="center"/>
    </xf>
    <xf numFmtId="2" fontId="9" fillId="0" borderId="17" xfId="0" applyNumberFormat="1" applyFont="1" applyBorder="1" applyAlignment="1">
      <alignment horizontal="center" vertical="center"/>
    </xf>
    <xf numFmtId="2" fontId="9" fillId="0" borderId="2" xfId="0" applyNumberFormat="1" applyFont="1" applyBorder="1" applyAlignment="1">
      <alignment horizontal="center" vertical="center"/>
    </xf>
    <xf numFmtId="2" fontId="9" fillId="0" borderId="23" xfId="0" applyNumberFormat="1" applyFont="1" applyBorder="1" applyAlignment="1">
      <alignment horizontal="center" vertical="center"/>
    </xf>
    <xf numFmtId="2" fontId="9" fillId="0" borderId="13" xfId="0" applyNumberFormat="1" applyFont="1" applyBorder="1" applyAlignment="1">
      <alignment horizontal="center" vertical="center"/>
    </xf>
    <xf numFmtId="2" fontId="9" fillId="0" borderId="25" xfId="0" applyNumberFormat="1" applyFont="1" applyBorder="1" applyAlignment="1">
      <alignment horizontal="center" vertical="center"/>
    </xf>
    <xf numFmtId="37" fontId="9" fillId="0" borderId="17" xfId="1" applyNumberFormat="1" applyFont="1" applyBorder="1" applyAlignment="1">
      <alignment vertical="center"/>
    </xf>
    <xf numFmtId="37" fontId="9" fillId="0" borderId="2" xfId="1" applyNumberFormat="1" applyFont="1" applyBorder="1" applyAlignment="1">
      <alignment vertical="center"/>
    </xf>
    <xf numFmtId="37" fontId="9" fillId="0" borderId="23" xfId="1" applyNumberFormat="1" applyFont="1" applyBorder="1" applyAlignment="1">
      <alignment vertical="center"/>
    </xf>
    <xf numFmtId="37" fontId="9" fillId="0" borderId="2" xfId="1" applyNumberFormat="1" applyFont="1" applyFill="1" applyBorder="1" applyAlignment="1">
      <alignment vertical="center"/>
    </xf>
    <xf numFmtId="37" fontId="9" fillId="0" borderId="28" xfId="0" applyNumberFormat="1" applyFont="1" applyBorder="1" applyAlignment="1">
      <alignment vertical="center"/>
    </xf>
    <xf numFmtId="37" fontId="9" fillId="0" borderId="2" xfId="0" applyNumberFormat="1" applyFont="1" applyBorder="1" applyAlignment="1">
      <alignment vertical="center"/>
    </xf>
    <xf numFmtId="37" fontId="9" fillId="0" borderId="0" xfId="0" applyNumberFormat="1" applyFont="1" applyAlignment="1">
      <alignment vertical="center"/>
    </xf>
    <xf numFmtId="37" fontId="9" fillId="0" borderId="13" xfId="1" applyNumberFormat="1" applyFont="1" applyBorder="1" applyAlignment="1">
      <alignment vertical="center"/>
    </xf>
    <xf numFmtId="37" fontId="9" fillId="0" borderId="17" xfId="1" applyNumberFormat="1" applyFont="1" applyBorder="1" applyAlignment="1">
      <alignment horizontal="right" vertical="center"/>
    </xf>
    <xf numFmtId="37" fontId="9" fillId="0" borderId="2" xfId="1" applyNumberFormat="1" applyFont="1" applyBorder="1" applyAlignment="1">
      <alignment horizontal="right" vertical="center"/>
    </xf>
    <xf numFmtId="37" fontId="9" fillId="0" borderId="23" xfId="1" applyNumberFormat="1" applyFont="1" applyBorder="1" applyAlignment="1">
      <alignment horizontal="right" vertical="center"/>
    </xf>
    <xf numFmtId="37" fontId="9" fillId="0" borderId="13" xfId="1" applyNumberFormat="1" applyFont="1" applyBorder="1" applyAlignment="1">
      <alignment horizontal="right" vertical="center"/>
    </xf>
    <xf numFmtId="37" fontId="9" fillId="0" borderId="25" xfId="1" applyNumberFormat="1" applyFont="1" applyBorder="1" applyAlignment="1">
      <alignment horizontal="right" vertical="center"/>
    </xf>
    <xf numFmtId="0" fontId="10" fillId="0" borderId="62" xfId="0" applyFont="1" applyBorder="1" applyAlignment="1">
      <alignment horizontal="center" wrapText="1"/>
    </xf>
    <xf numFmtId="2" fontId="9" fillId="0" borderId="45" xfId="2" applyNumberFormat="1" applyFont="1" applyBorder="1"/>
    <xf numFmtId="2" fontId="9" fillId="0" borderId="0" xfId="2" applyNumberFormat="1" applyFont="1" applyBorder="1"/>
    <xf numFmtId="2" fontId="9" fillId="0" borderId="28" xfId="2" applyNumberFormat="1" applyFont="1" applyBorder="1"/>
    <xf numFmtId="2" fontId="9" fillId="0" borderId="68" xfId="2" applyNumberFormat="1" applyFont="1" applyBorder="1"/>
    <xf numFmtId="2" fontId="9" fillId="0" borderId="21" xfId="2" applyNumberFormat="1" applyFont="1" applyBorder="1"/>
    <xf numFmtId="2" fontId="9" fillId="0" borderId="20" xfId="2" applyNumberFormat="1" applyFont="1" applyBorder="1"/>
    <xf numFmtId="2" fontId="9" fillId="0" borderId="71" xfId="2" applyNumberFormat="1" applyFont="1" applyBorder="1"/>
    <xf numFmtId="3" fontId="11" fillId="0" borderId="1" xfId="2" applyNumberFormat="1" applyFont="1" applyFill="1" applyBorder="1"/>
    <xf numFmtId="3" fontId="9" fillId="0" borderId="1" xfId="0" applyNumberFormat="1" applyFont="1" applyBorder="1"/>
    <xf numFmtId="3" fontId="9" fillId="0" borderId="24" xfId="0" applyNumberFormat="1" applyFont="1" applyBorder="1"/>
    <xf numFmtId="3" fontId="9" fillId="0" borderId="70" xfId="1" applyNumberFormat="1" applyFont="1" applyFill="1" applyBorder="1"/>
    <xf numFmtId="3" fontId="9" fillId="0" borderId="3" xfId="2" applyNumberFormat="1" applyFont="1" applyBorder="1" applyAlignment="1"/>
    <xf numFmtId="3" fontId="9" fillId="0" borderId="30" xfId="0" applyNumberFormat="1" applyFont="1" applyBorder="1" applyAlignment="1">
      <alignment horizontal="right"/>
    </xf>
    <xf numFmtId="3" fontId="9" fillId="0" borderId="3" xfId="0" applyNumberFormat="1" applyFont="1" applyBorder="1" applyAlignment="1">
      <alignment horizontal="right"/>
    </xf>
    <xf numFmtId="3" fontId="9" fillId="0" borderId="3" xfId="1" applyNumberFormat="1" applyFont="1" applyBorder="1"/>
    <xf numFmtId="3" fontId="9" fillId="0" borderId="30" xfId="1" applyNumberFormat="1" applyFont="1" applyFill="1" applyBorder="1"/>
    <xf numFmtId="3" fontId="9" fillId="0" borderId="26" xfId="1" applyNumberFormat="1" applyFont="1" applyFill="1" applyBorder="1"/>
    <xf numFmtId="3" fontId="26" fillId="0" borderId="41" xfId="0" applyNumberFormat="1" applyFont="1" applyBorder="1" applyAlignment="1">
      <alignment horizontal="right"/>
    </xf>
    <xf numFmtId="165" fontId="35" fillId="0" borderId="58" xfId="77" applyNumberFormat="1" applyFont="1" applyBorder="1"/>
    <xf numFmtId="165" fontId="26" fillId="0" borderId="42" xfId="0" applyNumberFormat="1" applyFont="1" applyBorder="1"/>
    <xf numFmtId="0" fontId="9" fillId="0" borderId="4" xfId="0" applyFont="1" applyBorder="1" applyAlignment="1">
      <alignment horizontal="center"/>
    </xf>
    <xf numFmtId="0" fontId="21" fillId="0" borderId="53" xfId="0" applyFont="1" applyBorder="1" applyAlignment="1">
      <alignment horizontal="center" vertical="center"/>
    </xf>
    <xf numFmtId="0" fontId="21" fillId="0" borderId="54" xfId="0" applyFont="1" applyBorder="1" applyAlignment="1">
      <alignment horizontal="center" vertical="center"/>
    </xf>
    <xf numFmtId="0" fontId="21" fillId="0" borderId="55" xfId="0" applyFont="1" applyBorder="1" applyAlignment="1">
      <alignment horizontal="center" vertical="center"/>
    </xf>
    <xf numFmtId="0" fontId="10" fillId="0" borderId="51" xfId="0" applyFont="1" applyBorder="1" applyAlignment="1">
      <alignment horizontal="center" wrapText="1"/>
    </xf>
    <xf numFmtId="0" fontId="10" fillId="0" borderId="52" xfId="0" applyFont="1" applyBorder="1" applyAlignment="1">
      <alignment horizontal="center" wrapText="1"/>
    </xf>
    <xf numFmtId="0" fontId="10" fillId="0" borderId="22" xfId="0" applyFont="1" applyBorder="1" applyAlignment="1">
      <alignment horizontal="center" wrapText="1"/>
    </xf>
    <xf numFmtId="0" fontId="14" fillId="0" borderId="5" xfId="0" applyFont="1" applyBorder="1" applyAlignment="1">
      <alignment horizontal="left" vertical="top" wrapText="1"/>
    </xf>
    <xf numFmtId="0" fontId="14" fillId="0" borderId="0" xfId="0" applyFont="1" applyAlignment="1">
      <alignment horizontal="left" vertical="top" wrapText="1"/>
    </xf>
    <xf numFmtId="0" fontId="14" fillId="0" borderId="4" xfId="0" applyFont="1" applyBorder="1" applyAlignment="1">
      <alignment horizontal="left" vertical="top" wrapText="1"/>
    </xf>
    <xf numFmtId="0" fontId="14" fillId="0" borderId="8" xfId="0" applyFont="1" applyBorder="1" applyAlignment="1">
      <alignment horizontal="left" vertical="top" wrapText="1"/>
    </xf>
    <xf numFmtId="0" fontId="14" fillId="0" borderId="6" xfId="0" applyFont="1" applyBorder="1" applyAlignment="1">
      <alignment horizontal="left" vertical="top" wrapText="1"/>
    </xf>
    <xf numFmtId="0" fontId="14" fillId="0" borderId="7" xfId="0" applyFont="1" applyBorder="1" applyAlignment="1">
      <alignment horizontal="left" vertical="top" wrapText="1"/>
    </xf>
    <xf numFmtId="0" fontId="10" fillId="0" borderId="37" xfId="0" applyFont="1" applyBorder="1" applyAlignment="1">
      <alignment horizontal="center" wrapText="1"/>
    </xf>
    <xf numFmtId="0" fontId="10" fillId="0" borderId="38" xfId="0" applyFont="1" applyBorder="1" applyAlignment="1">
      <alignment horizontal="center" wrapText="1"/>
    </xf>
    <xf numFmtId="0" fontId="21" fillId="0" borderId="0" xfId="0" applyFont="1" applyAlignment="1">
      <alignment horizontal="center"/>
    </xf>
    <xf numFmtId="0" fontId="10" fillId="0" borderId="61" xfId="0" applyFont="1" applyBorder="1" applyAlignment="1">
      <alignment horizontal="center" wrapText="1"/>
    </xf>
    <xf numFmtId="0" fontId="10" fillId="0" borderId="62" xfId="0" applyFont="1" applyBorder="1" applyAlignment="1">
      <alignment horizontal="center" wrapText="1"/>
    </xf>
    <xf numFmtId="0" fontId="10" fillId="0" borderId="40" xfId="0" applyFont="1" applyBorder="1" applyAlignment="1">
      <alignment horizontal="center" wrapText="1"/>
    </xf>
    <xf numFmtId="0" fontId="10" fillId="0" borderId="39" xfId="0" applyFont="1" applyBorder="1" applyAlignment="1">
      <alignment horizontal="center" wrapText="1"/>
    </xf>
    <xf numFmtId="0" fontId="10" fillId="0" borderId="42" xfId="0" applyFont="1" applyBorder="1" applyAlignment="1">
      <alignment horizontal="center" wrapText="1"/>
    </xf>
    <xf numFmtId="0" fontId="18" fillId="0" borderId="0" xfId="0" applyFont="1" applyAlignment="1">
      <alignment horizontal="center"/>
    </xf>
    <xf numFmtId="0" fontId="10" fillId="0" borderId="59" xfId="0" applyFont="1" applyBorder="1" applyAlignment="1">
      <alignment horizontal="center" wrapText="1"/>
    </xf>
    <xf numFmtId="0" fontId="10" fillId="0" borderId="17" xfId="0" applyFont="1" applyBorder="1" applyAlignment="1">
      <alignment horizontal="center" wrapText="1"/>
    </xf>
    <xf numFmtId="0" fontId="10" fillId="0" borderId="25" xfId="0" applyFont="1" applyBorder="1" applyAlignment="1">
      <alignment horizontal="center" wrapText="1"/>
    </xf>
    <xf numFmtId="0" fontId="14" fillId="0" borderId="8" xfId="0" applyFont="1" applyBorder="1" applyAlignment="1">
      <alignment horizontal="left" vertical="top"/>
    </xf>
    <xf numFmtId="0" fontId="14" fillId="0" borderId="6" xfId="0" applyFont="1" applyBorder="1" applyAlignment="1">
      <alignment horizontal="left" vertical="top"/>
    </xf>
    <xf numFmtId="0" fontId="14" fillId="0" borderId="7" xfId="0" applyFont="1" applyBorder="1" applyAlignment="1">
      <alignment horizontal="left" vertical="top"/>
    </xf>
    <xf numFmtId="0" fontId="21" fillId="0" borderId="0" xfId="0" applyFont="1" applyAlignment="1">
      <alignment horizontal="center" vertical="center" wrapText="1"/>
    </xf>
    <xf numFmtId="0" fontId="9" fillId="0" borderId="0" xfId="0" applyFont="1" applyAlignment="1">
      <alignment horizontal="center" wrapText="1"/>
    </xf>
    <xf numFmtId="0" fontId="14" fillId="0" borderId="5" xfId="0" applyFont="1" applyBorder="1" applyAlignment="1">
      <alignment horizontal="left" vertical="top"/>
    </xf>
    <xf numFmtId="0" fontId="14" fillId="0" borderId="0" xfId="0" applyFont="1" applyAlignment="1">
      <alignment horizontal="left" vertical="top"/>
    </xf>
    <xf numFmtId="0" fontId="14" fillId="0" borderId="4" xfId="0" applyFont="1" applyBorder="1" applyAlignment="1">
      <alignment horizontal="left" vertical="top"/>
    </xf>
    <xf numFmtId="0" fontId="18" fillId="0" borderId="5" xfId="0" applyFont="1" applyBorder="1" applyAlignment="1">
      <alignment horizontal="center"/>
    </xf>
    <xf numFmtId="0" fontId="18" fillId="0" borderId="4" xfId="0" applyFont="1" applyBorder="1" applyAlignment="1">
      <alignment horizontal="center"/>
    </xf>
    <xf numFmtId="166" fontId="14" fillId="0" borderId="8" xfId="0" applyNumberFormat="1" applyFont="1" applyBorder="1" applyAlignment="1">
      <alignment horizontal="left" vertical="top"/>
    </xf>
    <xf numFmtId="166" fontId="14" fillId="0" borderId="6" xfId="0" applyNumberFormat="1" applyFont="1" applyBorder="1" applyAlignment="1">
      <alignment horizontal="left" vertical="top"/>
    </xf>
    <xf numFmtId="166" fontId="14" fillId="0" borderId="7" xfId="0" applyNumberFormat="1" applyFont="1" applyBorder="1" applyAlignment="1">
      <alignment horizontal="left" vertical="top"/>
    </xf>
    <xf numFmtId="0" fontId="15" fillId="0" borderId="0" xfId="0" applyFont="1" applyAlignment="1">
      <alignment horizontal="center"/>
    </xf>
    <xf numFmtId="0" fontId="10" fillId="0" borderId="38" xfId="0" applyFont="1" applyBorder="1" applyAlignment="1">
      <alignment horizontal="center"/>
    </xf>
    <xf numFmtId="0" fontId="10" fillId="0" borderId="41" xfId="0" applyFont="1" applyBorder="1" applyAlignment="1">
      <alignment horizontal="center" wrapText="1"/>
    </xf>
    <xf numFmtId="0" fontId="10" fillId="0" borderId="11" xfId="0" applyFont="1" applyBorder="1" applyAlignment="1">
      <alignment horizontal="center" wrapText="1"/>
    </xf>
    <xf numFmtId="0" fontId="10" fillId="0" borderId="27" xfId="0" applyFont="1" applyBorder="1" applyAlignment="1">
      <alignment horizontal="center" wrapText="1"/>
    </xf>
    <xf numFmtId="0" fontId="15" fillId="0" borderId="0" xfId="0" applyFont="1" applyAlignment="1">
      <alignment horizontal="center" vertical="center"/>
    </xf>
    <xf numFmtId="0" fontId="9" fillId="0" borderId="5" xfId="0" applyFont="1" applyBorder="1" applyAlignment="1">
      <alignment horizontal="left" wrapText="1"/>
    </xf>
    <xf numFmtId="0" fontId="9" fillId="0" borderId="0" xfId="0" applyFont="1" applyAlignment="1">
      <alignment horizontal="left" wrapText="1"/>
    </xf>
    <xf numFmtId="0" fontId="9" fillId="0" borderId="4" xfId="0" applyFont="1" applyBorder="1" applyAlignment="1">
      <alignment horizontal="left" wrapText="1"/>
    </xf>
    <xf numFmtId="0" fontId="15" fillId="0" borderId="0" xfId="0" applyFont="1" applyAlignment="1">
      <alignment horizontal="center" wrapText="1"/>
    </xf>
    <xf numFmtId="0" fontId="9" fillId="0" borderId="16" xfId="0" applyFont="1" applyBorder="1" applyAlignment="1">
      <alignment horizontal="center"/>
    </xf>
    <xf numFmtId="0" fontId="9" fillId="0" borderId="45" xfId="0" applyFont="1" applyBorder="1" applyAlignment="1">
      <alignment horizontal="center"/>
    </xf>
    <xf numFmtId="0" fontId="9" fillId="0" borderId="15" xfId="0" applyFont="1" applyBorder="1" applyAlignment="1">
      <alignment horizontal="center"/>
    </xf>
    <xf numFmtId="0" fontId="24" fillId="0" borderId="37" xfId="0" applyFont="1" applyBorder="1" applyAlignment="1">
      <alignment horizontal="center"/>
    </xf>
    <xf numFmtId="0" fontId="24" fillId="0" borderId="38" xfId="0" applyFont="1" applyBorder="1" applyAlignment="1">
      <alignment horizontal="center"/>
    </xf>
    <xf numFmtId="0" fontId="24" fillId="0" borderId="39" xfId="0" applyFont="1" applyBorder="1" applyAlignment="1">
      <alignment horizontal="center"/>
    </xf>
    <xf numFmtId="0" fontId="24" fillId="0" borderId="61" xfId="0" applyFont="1" applyBorder="1" applyAlignment="1">
      <alignment horizontal="center"/>
    </xf>
    <xf numFmtId="0" fontId="24" fillId="0" borderId="59" xfId="0" applyFont="1" applyBorder="1" applyAlignment="1">
      <alignment horizontal="center"/>
    </xf>
    <xf numFmtId="0" fontId="10" fillId="0" borderId="49" xfId="0" applyFont="1" applyBorder="1" applyAlignment="1">
      <alignment horizontal="center" wrapText="1"/>
    </xf>
    <xf numFmtId="0" fontId="10" fillId="0" borderId="50" xfId="0" applyFont="1" applyBorder="1" applyAlignment="1">
      <alignment horizontal="center" wrapText="1"/>
    </xf>
    <xf numFmtId="0" fontId="10" fillId="0" borderId="46" xfId="0" applyFont="1" applyBorder="1" applyAlignment="1">
      <alignment horizontal="center" wrapText="1"/>
    </xf>
    <xf numFmtId="0" fontId="10" fillId="0" borderId="47" xfId="0" applyFont="1" applyBorder="1" applyAlignment="1">
      <alignment horizontal="center" wrapText="1"/>
    </xf>
    <xf numFmtId="0" fontId="15" fillId="0" borderId="16"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8" xfId="0" applyFont="1" applyBorder="1" applyAlignment="1">
      <alignment horizontal="center"/>
    </xf>
    <xf numFmtId="0" fontId="15" fillId="0" borderId="7" xfId="0" applyFont="1" applyBorder="1" applyAlignment="1">
      <alignment horizontal="center"/>
    </xf>
    <xf numFmtId="0" fontId="9" fillId="0" borderId="5" xfId="0" applyFont="1" applyBorder="1" applyAlignment="1">
      <alignment horizontal="center" wrapText="1"/>
    </xf>
    <xf numFmtId="0" fontId="0" fillId="0" borderId="4" xfId="0" applyBorder="1"/>
    <xf numFmtId="0" fontId="0" fillId="0" borderId="7" xfId="0" applyBorder="1"/>
    <xf numFmtId="165" fontId="25" fillId="0" borderId="39" xfId="0" applyNumberFormat="1" applyFont="1" applyBorder="1" applyAlignment="1">
      <alignment horizontal="center" wrapText="1"/>
    </xf>
    <xf numFmtId="165" fontId="25" fillId="0" borderId="58" xfId="0" applyNumberFormat="1" applyFont="1" applyBorder="1" applyAlignment="1">
      <alignment horizontal="center" wrapText="1"/>
    </xf>
    <xf numFmtId="3" fontId="25" fillId="0" borderId="38" xfId="0" applyNumberFormat="1" applyFont="1" applyBorder="1" applyAlignment="1">
      <alignment horizontal="center"/>
    </xf>
    <xf numFmtId="3" fontId="25" fillId="0" borderId="56" xfId="0" applyNumberFormat="1" applyFont="1" applyBorder="1" applyAlignment="1">
      <alignment horizontal="center"/>
    </xf>
    <xf numFmtId="0" fontId="25" fillId="0" borderId="37" xfId="0" applyFont="1" applyBorder="1" applyAlignment="1">
      <alignment horizontal="center"/>
    </xf>
    <xf numFmtId="0" fontId="25" fillId="0" borderId="57" xfId="0" applyFont="1" applyBorder="1" applyAlignment="1">
      <alignment horizontal="center"/>
    </xf>
  </cellXfs>
  <cellStyles count="103">
    <cellStyle name="Comma" xfId="1" builtinId="3"/>
    <cellStyle name="Comma 10" xfId="92" xr:uid="{B61F5106-2FA5-451B-BC88-78FC9524263C}"/>
    <cellStyle name="Comma 10 2" xfId="46" xr:uid="{00000000-0005-0000-0000-000001000000}"/>
    <cellStyle name="Comma 2" xfId="2" xr:uid="{00000000-0005-0000-0000-000002000000}"/>
    <cellStyle name="Comma 2 10" xfId="73" xr:uid="{00000000-0005-0000-0000-000003000000}"/>
    <cellStyle name="Comma 2 11" xfId="96" xr:uid="{4D55EE27-6684-427E-A3CA-DDDFD081D1D6}"/>
    <cellStyle name="Comma 2 12" xfId="101" xr:uid="{466E86C8-5C1C-478A-80EF-10A254F086F2}"/>
    <cellStyle name="Comma 2 2" xfId="3" xr:uid="{00000000-0005-0000-0000-000004000000}"/>
    <cellStyle name="Comma 2 2 10" xfId="42" xr:uid="{00000000-0005-0000-0000-000005000000}"/>
    <cellStyle name="Comma 2 2 2" xfId="8" xr:uid="{00000000-0005-0000-0000-000006000000}"/>
    <cellStyle name="Comma 2 2 2 2" xfId="49" xr:uid="{00000000-0005-0000-0000-000007000000}"/>
    <cellStyle name="Comma 2 2 3" xfId="13" xr:uid="{00000000-0005-0000-0000-000008000000}"/>
    <cellStyle name="Comma 2 2 3 2" xfId="51" xr:uid="{00000000-0005-0000-0000-000009000000}"/>
    <cellStyle name="Comma 2 2 4" xfId="17" xr:uid="{00000000-0005-0000-0000-00000A000000}"/>
    <cellStyle name="Comma 2 2 4 2" xfId="54" xr:uid="{00000000-0005-0000-0000-00000B000000}"/>
    <cellStyle name="Comma 2 2 5" xfId="22" xr:uid="{00000000-0005-0000-0000-00000C000000}"/>
    <cellStyle name="Comma 2 2 5 2" xfId="58" xr:uid="{00000000-0005-0000-0000-00000D000000}"/>
    <cellStyle name="Comma 2 2 6" xfId="27" xr:uid="{00000000-0005-0000-0000-00000E000000}"/>
    <cellStyle name="Comma 2 2 6 2" xfId="62" xr:uid="{00000000-0005-0000-0000-00000F000000}"/>
    <cellStyle name="Comma 2 2 7" xfId="32" xr:uid="{00000000-0005-0000-0000-000010000000}"/>
    <cellStyle name="Comma 2 2 7 2" xfId="66" xr:uid="{00000000-0005-0000-0000-000011000000}"/>
    <cellStyle name="Comma 2 2 8" xfId="37" xr:uid="{00000000-0005-0000-0000-000012000000}"/>
    <cellStyle name="Comma 2 2 8 2" xfId="70" xr:uid="{00000000-0005-0000-0000-000013000000}"/>
    <cellStyle name="Comma 2 2 9" xfId="39" xr:uid="{00000000-0005-0000-0000-000014000000}"/>
    <cellStyle name="Comma 2 2 9 2" xfId="72" xr:uid="{00000000-0005-0000-0000-000015000000}"/>
    <cellStyle name="Comma 2 3" xfId="12" xr:uid="{00000000-0005-0000-0000-000016000000}"/>
    <cellStyle name="Comma 2 4" xfId="16" xr:uid="{00000000-0005-0000-0000-000017000000}"/>
    <cellStyle name="Comma 2 5" xfId="21" xr:uid="{00000000-0005-0000-0000-000018000000}"/>
    <cellStyle name="Comma 2 6" xfId="26" xr:uid="{00000000-0005-0000-0000-000019000000}"/>
    <cellStyle name="Comma 2 7" xfId="31" xr:uid="{00000000-0005-0000-0000-00001A000000}"/>
    <cellStyle name="Comma 2 8" xfId="36" xr:uid="{00000000-0005-0000-0000-00001B000000}"/>
    <cellStyle name="Comma 2 9" xfId="47" xr:uid="{00000000-0005-0000-0000-00001C000000}"/>
    <cellStyle name="Comma 3" xfId="4" xr:uid="{00000000-0005-0000-0000-00001D000000}"/>
    <cellStyle name="Comma 3 2" xfId="9" xr:uid="{00000000-0005-0000-0000-00001E000000}"/>
    <cellStyle name="Comma 3 3" xfId="40" xr:uid="{00000000-0005-0000-0000-00001F000000}"/>
    <cellStyle name="Comma 3 4" xfId="44" xr:uid="{00000000-0005-0000-0000-000020000000}"/>
    <cellStyle name="Comma 3 5" xfId="74" xr:uid="{00000000-0005-0000-0000-000021000000}"/>
    <cellStyle name="Comma 4" xfId="80" xr:uid="{00000000-0005-0000-0000-000022000000}"/>
    <cellStyle name="Comma 4 2" xfId="11" xr:uid="{00000000-0005-0000-0000-000023000000}"/>
    <cellStyle name="Comma 4 3" xfId="41" xr:uid="{00000000-0005-0000-0000-000024000000}"/>
    <cellStyle name="Comma 4 4" xfId="43" xr:uid="{00000000-0005-0000-0000-000025000000}"/>
    <cellStyle name="Comma 4 5" xfId="95" xr:uid="{A2BDC584-C975-4BE2-A67A-1BA761BAA85A}"/>
    <cellStyle name="Comma 5" xfId="14" xr:uid="{00000000-0005-0000-0000-000026000000}"/>
    <cellStyle name="Comma 5 2" xfId="52" xr:uid="{00000000-0005-0000-0000-000027000000}"/>
    <cellStyle name="Comma 6" xfId="18" xr:uid="{00000000-0005-0000-0000-000028000000}"/>
    <cellStyle name="Comma 6 2" xfId="55" xr:uid="{00000000-0005-0000-0000-000029000000}"/>
    <cellStyle name="Comma 7" xfId="25" xr:uid="{00000000-0005-0000-0000-00002A000000}"/>
    <cellStyle name="Comma 7 2" xfId="61" xr:uid="{00000000-0005-0000-0000-00002B000000}"/>
    <cellStyle name="Comma 8" xfId="28" xr:uid="{00000000-0005-0000-0000-00002C000000}"/>
    <cellStyle name="Comma 8 2" xfId="63" xr:uid="{00000000-0005-0000-0000-00002D000000}"/>
    <cellStyle name="Comma 9" xfId="35" xr:uid="{00000000-0005-0000-0000-00002E000000}"/>
    <cellStyle name="Comma 9 2" xfId="69" xr:uid="{00000000-0005-0000-0000-00002F000000}"/>
    <cellStyle name="Currency" xfId="5" builtinId="4"/>
    <cellStyle name="Currency 2" xfId="6" xr:uid="{00000000-0005-0000-0000-000031000000}"/>
    <cellStyle name="Currency 2 10" xfId="89" xr:uid="{00000000-0005-0000-0000-000032000000}"/>
    <cellStyle name="Currency 2 11" xfId="81" xr:uid="{00000000-0005-0000-0000-000033000000}"/>
    <cellStyle name="Currency 2 2" xfId="10" xr:uid="{00000000-0005-0000-0000-000034000000}"/>
    <cellStyle name="Currency 2 2 2" xfId="50" xr:uid="{00000000-0005-0000-0000-000035000000}"/>
    <cellStyle name="Currency 2 3" xfId="15" xr:uid="{00000000-0005-0000-0000-000036000000}"/>
    <cellStyle name="Currency 2 3 2" xfId="53" xr:uid="{00000000-0005-0000-0000-000037000000}"/>
    <cellStyle name="Currency 2 4" xfId="19" xr:uid="{00000000-0005-0000-0000-000038000000}"/>
    <cellStyle name="Currency 2 4 2" xfId="56" xr:uid="{00000000-0005-0000-0000-000039000000}"/>
    <cellStyle name="Currency 2 5" xfId="23" xr:uid="{00000000-0005-0000-0000-00003A000000}"/>
    <cellStyle name="Currency 2 5 2" xfId="59" xr:uid="{00000000-0005-0000-0000-00003B000000}"/>
    <cellStyle name="Currency 2 6" xfId="29" xr:uid="{00000000-0005-0000-0000-00003C000000}"/>
    <cellStyle name="Currency 2 6 2" xfId="64" xr:uid="{00000000-0005-0000-0000-00003D000000}"/>
    <cellStyle name="Currency 2 7" xfId="33" xr:uid="{00000000-0005-0000-0000-00003E000000}"/>
    <cellStyle name="Currency 2 7 2" xfId="67" xr:uid="{00000000-0005-0000-0000-00003F000000}"/>
    <cellStyle name="Currency 2 8" xfId="38" xr:uid="{00000000-0005-0000-0000-000040000000}"/>
    <cellStyle name="Currency 2 8 2" xfId="71" xr:uid="{00000000-0005-0000-0000-000041000000}"/>
    <cellStyle name="Currency 2 9" xfId="48" xr:uid="{00000000-0005-0000-0000-000042000000}"/>
    <cellStyle name="Currency 3" xfId="88" xr:uid="{00000000-0005-0000-0000-000043000000}"/>
    <cellStyle name="Fixed" xfId="93" xr:uid="{1FDA6245-20AF-4404-BBB4-1A93873E9787}"/>
    <cellStyle name="Hyperlink" xfId="7" builtinId="8"/>
    <cellStyle name="Hyperlink 2" xfId="82" xr:uid="{00000000-0005-0000-0000-000045000000}"/>
    <cellStyle name="Hyperlink 3" xfId="86" xr:uid="{00000000-0005-0000-0000-000046000000}"/>
    <cellStyle name="Normal" xfId="0" builtinId="0"/>
    <cellStyle name="Normal 10" xfId="77" xr:uid="{00000000-0005-0000-0000-000048000000}"/>
    <cellStyle name="Normal 10 2" xfId="94" xr:uid="{30140105-341D-4F65-98CE-D3AADA049368}"/>
    <cellStyle name="Normal 11" xfId="90" xr:uid="{B644B19C-EF20-4E1D-9C15-59FB696DEA06}"/>
    <cellStyle name="Normal 12" xfId="98" xr:uid="{01594B30-CA28-4EAE-96DA-1B10EBD2D2F6}"/>
    <cellStyle name="Normal 12 10" xfId="100" xr:uid="{EFE9FFBA-1B6B-4494-9D81-E63E0374D2D1}"/>
    <cellStyle name="Normal 13" xfId="97" xr:uid="{C3D13130-9A19-4F27-8E8F-587E26FCC38E}"/>
    <cellStyle name="Normal 2" xfId="78" xr:uid="{00000000-0005-0000-0000-000049000000}"/>
    <cellStyle name="Normal 2 2" xfId="84" xr:uid="{00000000-0005-0000-0000-00004A000000}"/>
    <cellStyle name="Normal 2 3" xfId="83" xr:uid="{00000000-0005-0000-0000-00004B000000}"/>
    <cellStyle name="Normal 2 5" xfId="76" xr:uid="{00000000-0005-0000-0000-00004C000000}"/>
    <cellStyle name="Normal 3" xfId="79" xr:uid="{00000000-0005-0000-0000-00004D000000}"/>
    <cellStyle name="Normal 3 2" xfId="85" xr:uid="{00000000-0005-0000-0000-00004E000000}"/>
    <cellStyle name="Normal 3 2 2" xfId="91" xr:uid="{ED2DE037-0781-46C9-9C1C-E5158FDEE4AF}"/>
    <cellStyle name="Normal 4" xfId="87" xr:uid="{00000000-0005-0000-0000-00004F000000}"/>
    <cellStyle name="Normal 5" xfId="20" xr:uid="{00000000-0005-0000-0000-000050000000}"/>
    <cellStyle name="Normal 5 2" xfId="57" xr:uid="{00000000-0005-0000-0000-000051000000}"/>
    <cellStyle name="Normal 6" xfId="24" xr:uid="{00000000-0005-0000-0000-000052000000}"/>
    <cellStyle name="Normal 6 2" xfId="60" xr:uid="{00000000-0005-0000-0000-000053000000}"/>
    <cellStyle name="Normal 7" xfId="30" xr:uid="{00000000-0005-0000-0000-000054000000}"/>
    <cellStyle name="Normal 7 2" xfId="65" xr:uid="{00000000-0005-0000-0000-000055000000}"/>
    <cellStyle name="Normal 8" xfId="34" xr:uid="{00000000-0005-0000-0000-000056000000}"/>
    <cellStyle name="Normal 8 2" xfId="68" xr:uid="{00000000-0005-0000-0000-000057000000}"/>
    <cellStyle name="Normal 9" xfId="45" xr:uid="{00000000-0005-0000-0000-000058000000}"/>
    <cellStyle name="Percent 2" xfId="75" xr:uid="{00000000-0005-0000-0000-000059000000}"/>
    <cellStyle name="Percent 2 2" xfId="102" xr:uid="{FAB13F46-1E36-4833-AD39-46E58DCD4623}"/>
    <cellStyle name="Percent 2 3" xfId="99" xr:uid="{1BD5AFE3-D81D-464F-BDD6-2E918415D29B}"/>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17.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17.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19.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19.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1" Type="http://schemas.openxmlformats.org/officeDocument/2006/relationships/themeOverride" Target="../theme/themeOverride20.xml"/></Relationships>
</file>

<file path=xl/charts/_rels/chart21.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21.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nchor="b" anchorCtr="0"/>
          <a:lstStyle/>
          <a:p>
            <a:pPr>
              <a:defRPr sz="1400" b="1" i="0" u="none" strike="noStrike" baseline="0">
                <a:solidFill>
                  <a:srgbClr val="000000"/>
                </a:solidFill>
                <a:latin typeface="Times New Roman"/>
                <a:ea typeface="Times New Roman"/>
                <a:cs typeface="Times New Roman"/>
              </a:defRPr>
            </a:pPr>
            <a:r>
              <a:rPr lang="en-US"/>
              <a:t>Cigarette Tax: Collections</a:t>
            </a:r>
          </a:p>
        </c:rich>
      </c:tx>
      <c:layout>
        <c:manualLayout>
          <c:xMode val="edge"/>
          <c:yMode val="edge"/>
          <c:x val="0.32988670364455708"/>
          <c:y val="2.8277415321521289E-2"/>
        </c:manualLayout>
      </c:layout>
      <c:overlay val="0"/>
      <c:spPr>
        <a:noFill/>
        <a:ln w="25400">
          <a:noFill/>
        </a:ln>
      </c:spPr>
    </c:title>
    <c:autoTitleDeleted val="0"/>
    <c:plotArea>
      <c:layout>
        <c:manualLayout>
          <c:layoutTarget val="inner"/>
          <c:xMode val="edge"/>
          <c:yMode val="edge"/>
          <c:x val="0.18866146358990679"/>
          <c:y val="0.13438007805788066"/>
          <c:w val="0.75705792526831661"/>
          <c:h val="0.6752705837492422"/>
        </c:manualLayout>
      </c:layout>
      <c:areaChart>
        <c:grouping val="standard"/>
        <c:varyColors val="0"/>
        <c:ser>
          <c:idx val="0"/>
          <c:order val="0"/>
          <c:tx>
            <c:strRef>
              <c:f>'Cigarette  and Tobacco Taxes'!$D$4</c:f>
              <c:strCache>
                <c:ptCount val="1"/>
                <c:pt idx="0">
                  <c:v>Total Tax Collections</c:v>
                </c:pt>
              </c:strCache>
            </c:strRef>
          </c:tx>
          <c:spPr>
            <a:solidFill>
              <a:srgbClr val="969696"/>
            </a:solidFill>
            <a:ln w="12700">
              <a:solidFill>
                <a:srgbClr val="000000"/>
              </a:solidFill>
              <a:prstDash val="solid"/>
            </a:ln>
          </c:spPr>
          <c:cat>
            <c:numRef>
              <c:f>'Cigarette  and Tobacco Taxes'!$A$5:$A$105</c:f>
              <c:numCache>
                <c:formatCode>General</c:formatCode>
                <c:ptCount val="101"/>
                <c:pt idx="0">
                  <c:v>1923</c:v>
                </c:pt>
                <c:pt idx="1">
                  <c:v>1924</c:v>
                </c:pt>
                <c:pt idx="2">
                  <c:v>1925</c:v>
                </c:pt>
                <c:pt idx="3">
                  <c:v>1926</c:v>
                </c:pt>
                <c:pt idx="4">
                  <c:v>1927</c:v>
                </c:pt>
                <c:pt idx="5">
                  <c:v>1928</c:v>
                </c:pt>
                <c:pt idx="6">
                  <c:v>1929</c:v>
                </c:pt>
                <c:pt idx="7">
                  <c:v>1930</c:v>
                </c:pt>
                <c:pt idx="8">
                  <c:v>1931</c:v>
                </c:pt>
                <c:pt idx="9">
                  <c:v>1932</c:v>
                </c:pt>
                <c:pt idx="10">
                  <c:v>1933</c:v>
                </c:pt>
                <c:pt idx="11">
                  <c:v>1934</c:v>
                </c:pt>
                <c:pt idx="12">
                  <c:v>1935</c:v>
                </c:pt>
                <c:pt idx="13">
                  <c:v>1936</c:v>
                </c:pt>
                <c:pt idx="14">
                  <c:v>1937</c:v>
                </c:pt>
                <c:pt idx="15">
                  <c:v>1938</c:v>
                </c:pt>
                <c:pt idx="16">
                  <c:v>1939</c:v>
                </c:pt>
                <c:pt idx="17">
                  <c:v>1940</c:v>
                </c:pt>
                <c:pt idx="18">
                  <c:v>1941</c:v>
                </c:pt>
                <c:pt idx="19">
                  <c:v>1942</c:v>
                </c:pt>
                <c:pt idx="20">
                  <c:v>1943</c:v>
                </c:pt>
                <c:pt idx="21">
                  <c:v>1944</c:v>
                </c:pt>
                <c:pt idx="22">
                  <c:v>1945</c:v>
                </c:pt>
                <c:pt idx="23">
                  <c:v>1946</c:v>
                </c:pt>
                <c:pt idx="24">
                  <c:v>1947</c:v>
                </c:pt>
                <c:pt idx="25">
                  <c:v>1948</c:v>
                </c:pt>
                <c:pt idx="26">
                  <c:v>1949</c:v>
                </c:pt>
                <c:pt idx="27">
                  <c:v>1950</c:v>
                </c:pt>
                <c:pt idx="28">
                  <c:v>1951</c:v>
                </c:pt>
                <c:pt idx="29">
                  <c:v>1952</c:v>
                </c:pt>
                <c:pt idx="30">
                  <c:v>1953</c:v>
                </c:pt>
                <c:pt idx="31">
                  <c:v>1954</c:v>
                </c:pt>
                <c:pt idx="32">
                  <c:v>1955</c:v>
                </c:pt>
                <c:pt idx="33">
                  <c:v>1956</c:v>
                </c:pt>
                <c:pt idx="34">
                  <c:v>1957</c:v>
                </c:pt>
                <c:pt idx="35">
                  <c:v>1958</c:v>
                </c:pt>
                <c:pt idx="36">
                  <c:v>1959</c:v>
                </c:pt>
                <c:pt idx="37">
                  <c:v>1960</c:v>
                </c:pt>
                <c:pt idx="38">
                  <c:v>1961</c:v>
                </c:pt>
                <c:pt idx="39">
                  <c:v>1962</c:v>
                </c:pt>
                <c:pt idx="40">
                  <c:v>1963</c:v>
                </c:pt>
                <c:pt idx="41">
                  <c:v>1964</c:v>
                </c:pt>
                <c:pt idx="42">
                  <c:v>1965</c:v>
                </c:pt>
                <c:pt idx="43">
                  <c:v>1966</c:v>
                </c:pt>
                <c:pt idx="44">
                  <c:v>1967</c:v>
                </c:pt>
                <c:pt idx="45">
                  <c:v>1968</c:v>
                </c:pt>
                <c:pt idx="46">
                  <c:v>1969</c:v>
                </c:pt>
                <c:pt idx="47">
                  <c:v>1970</c:v>
                </c:pt>
                <c:pt idx="48">
                  <c:v>1971</c:v>
                </c:pt>
                <c:pt idx="49">
                  <c:v>1972</c:v>
                </c:pt>
                <c:pt idx="50">
                  <c:v>1973</c:v>
                </c:pt>
                <c:pt idx="51">
                  <c:v>1974</c:v>
                </c:pt>
                <c:pt idx="52">
                  <c:v>1975</c:v>
                </c:pt>
                <c:pt idx="53">
                  <c:v>1976</c:v>
                </c:pt>
                <c:pt idx="54">
                  <c:v>1977</c:v>
                </c:pt>
                <c:pt idx="55">
                  <c:v>1978</c:v>
                </c:pt>
                <c:pt idx="56">
                  <c:v>1979</c:v>
                </c:pt>
                <c:pt idx="57">
                  <c:v>1980</c:v>
                </c:pt>
                <c:pt idx="58">
                  <c:v>1981</c:v>
                </c:pt>
                <c:pt idx="59">
                  <c:v>1982</c:v>
                </c:pt>
                <c:pt idx="60">
                  <c:v>1983</c:v>
                </c:pt>
                <c:pt idx="61">
                  <c:v>1984</c:v>
                </c:pt>
                <c:pt idx="62">
                  <c:v>1985</c:v>
                </c:pt>
                <c:pt idx="63">
                  <c:v>1986</c:v>
                </c:pt>
                <c:pt idx="64">
                  <c:v>1987</c:v>
                </c:pt>
                <c:pt idx="65">
                  <c:v>1988</c:v>
                </c:pt>
                <c:pt idx="66">
                  <c:v>1989</c:v>
                </c:pt>
                <c:pt idx="67">
                  <c:v>1990</c:v>
                </c:pt>
                <c:pt idx="68">
                  <c:v>1991</c:v>
                </c:pt>
                <c:pt idx="69">
                  <c:v>1992</c:v>
                </c:pt>
                <c:pt idx="70">
                  <c:v>1993</c:v>
                </c:pt>
                <c:pt idx="71">
                  <c:v>1994</c:v>
                </c:pt>
                <c:pt idx="72">
                  <c:v>1995</c:v>
                </c:pt>
                <c:pt idx="73">
                  <c:v>1996</c:v>
                </c:pt>
                <c:pt idx="74">
                  <c:v>1997</c:v>
                </c:pt>
                <c:pt idx="75">
                  <c:v>1998</c:v>
                </c:pt>
                <c:pt idx="76">
                  <c:v>1999</c:v>
                </c:pt>
                <c:pt idx="77">
                  <c:v>2000</c:v>
                </c:pt>
                <c:pt idx="78">
                  <c:v>2001</c:v>
                </c:pt>
                <c:pt idx="79">
                  <c:v>2002</c:v>
                </c:pt>
                <c:pt idx="80">
                  <c:v>2003</c:v>
                </c:pt>
                <c:pt idx="81">
                  <c:v>2004</c:v>
                </c:pt>
                <c:pt idx="82">
                  <c:v>2005</c:v>
                </c:pt>
                <c:pt idx="83">
                  <c:v>2006</c:v>
                </c:pt>
                <c:pt idx="84">
                  <c:v>2007</c:v>
                </c:pt>
                <c:pt idx="85">
                  <c:v>2008</c:v>
                </c:pt>
                <c:pt idx="86">
                  <c:v>2009</c:v>
                </c:pt>
                <c:pt idx="87">
                  <c:v>2010</c:v>
                </c:pt>
                <c:pt idx="88">
                  <c:v>2011</c:v>
                </c:pt>
                <c:pt idx="89">
                  <c:v>2012</c:v>
                </c:pt>
                <c:pt idx="90">
                  <c:v>2013</c:v>
                </c:pt>
                <c:pt idx="91">
                  <c:v>2014</c:v>
                </c:pt>
                <c:pt idx="92">
                  <c:v>2015</c:v>
                </c:pt>
                <c:pt idx="93">
                  <c:v>2016</c:v>
                </c:pt>
                <c:pt idx="94">
                  <c:v>2017</c:v>
                </c:pt>
                <c:pt idx="95">
                  <c:v>2018</c:v>
                </c:pt>
                <c:pt idx="96">
                  <c:v>2019</c:v>
                </c:pt>
                <c:pt idx="97">
                  <c:v>2020</c:v>
                </c:pt>
                <c:pt idx="98">
                  <c:v>2021</c:v>
                </c:pt>
                <c:pt idx="99">
                  <c:v>2022</c:v>
                </c:pt>
                <c:pt idx="100">
                  <c:v>2023</c:v>
                </c:pt>
              </c:numCache>
            </c:numRef>
          </c:cat>
          <c:val>
            <c:numRef>
              <c:f>'Cigarette  and Tobacco Taxes'!$D$5:$D$107</c:f>
              <c:numCache>
                <c:formatCode>#,##0_);[Red]\(#,##0\)</c:formatCode>
                <c:ptCount val="103"/>
                <c:pt idx="0">
                  <c:v>69000</c:v>
                </c:pt>
                <c:pt idx="1">
                  <c:v>106000</c:v>
                </c:pt>
                <c:pt idx="2">
                  <c:v>61000</c:v>
                </c:pt>
                <c:pt idx="3">
                  <c:v>129000</c:v>
                </c:pt>
                <c:pt idx="4">
                  <c:v>128000</c:v>
                </c:pt>
                <c:pt idx="5">
                  <c:v>136000</c:v>
                </c:pt>
                <c:pt idx="6">
                  <c:v>143000</c:v>
                </c:pt>
                <c:pt idx="7">
                  <c:v>193000</c:v>
                </c:pt>
                <c:pt idx="8">
                  <c:v>197000</c:v>
                </c:pt>
                <c:pt idx="9">
                  <c:v>150251</c:v>
                </c:pt>
                <c:pt idx="10">
                  <c:v>120045</c:v>
                </c:pt>
                <c:pt idx="11">
                  <c:v>189396</c:v>
                </c:pt>
                <c:pt idx="12">
                  <c:v>243165</c:v>
                </c:pt>
                <c:pt idx="13">
                  <c:v>284493</c:v>
                </c:pt>
                <c:pt idx="14">
                  <c:v>326264</c:v>
                </c:pt>
                <c:pt idx="15">
                  <c:v>348473</c:v>
                </c:pt>
                <c:pt idx="16">
                  <c:v>348921</c:v>
                </c:pt>
                <c:pt idx="17">
                  <c:v>380442</c:v>
                </c:pt>
                <c:pt idx="18">
                  <c:v>369427</c:v>
                </c:pt>
                <c:pt idx="19">
                  <c:v>438577</c:v>
                </c:pt>
                <c:pt idx="20">
                  <c:v>634137</c:v>
                </c:pt>
                <c:pt idx="21">
                  <c:v>646326</c:v>
                </c:pt>
                <c:pt idx="22">
                  <c:v>553147</c:v>
                </c:pt>
                <c:pt idx="23">
                  <c:v>757165</c:v>
                </c:pt>
                <c:pt idx="24">
                  <c:v>826940</c:v>
                </c:pt>
                <c:pt idx="25">
                  <c:v>888009</c:v>
                </c:pt>
                <c:pt idx="26">
                  <c:v>903123</c:v>
                </c:pt>
                <c:pt idx="27">
                  <c:v>905489</c:v>
                </c:pt>
                <c:pt idx="28">
                  <c:v>931213</c:v>
                </c:pt>
                <c:pt idx="29">
                  <c:v>951777</c:v>
                </c:pt>
                <c:pt idx="30">
                  <c:v>978855</c:v>
                </c:pt>
                <c:pt idx="31">
                  <c:v>1231463</c:v>
                </c:pt>
                <c:pt idx="32">
                  <c:v>1824278</c:v>
                </c:pt>
                <c:pt idx="33">
                  <c:v>1917469</c:v>
                </c:pt>
                <c:pt idx="34">
                  <c:v>1996378</c:v>
                </c:pt>
                <c:pt idx="35">
                  <c:v>2045613</c:v>
                </c:pt>
                <c:pt idx="36">
                  <c:v>2206133</c:v>
                </c:pt>
                <c:pt idx="37">
                  <c:v>2329515</c:v>
                </c:pt>
                <c:pt idx="38">
                  <c:v>2465414</c:v>
                </c:pt>
                <c:pt idx="39">
                  <c:v>2471708</c:v>
                </c:pt>
                <c:pt idx="40">
                  <c:v>2630727</c:v>
                </c:pt>
                <c:pt idx="41">
                  <c:v>4667788</c:v>
                </c:pt>
                <c:pt idx="42">
                  <c:v>4995076</c:v>
                </c:pt>
                <c:pt idx="43">
                  <c:v>5042644</c:v>
                </c:pt>
                <c:pt idx="44">
                  <c:v>4993168</c:v>
                </c:pt>
                <c:pt idx="45">
                  <c:v>5028470</c:v>
                </c:pt>
                <c:pt idx="46">
                  <c:v>5238619</c:v>
                </c:pt>
                <c:pt idx="47">
                  <c:v>5294104</c:v>
                </c:pt>
                <c:pt idx="48">
                  <c:v>5596549</c:v>
                </c:pt>
                <c:pt idx="49">
                  <c:v>6057789</c:v>
                </c:pt>
                <c:pt idx="50">
                  <c:v>6291683</c:v>
                </c:pt>
                <c:pt idx="51">
                  <c:v>6702487</c:v>
                </c:pt>
                <c:pt idx="52">
                  <c:v>6862185</c:v>
                </c:pt>
                <c:pt idx="53">
                  <c:v>7268563</c:v>
                </c:pt>
                <c:pt idx="54">
                  <c:v>7482565</c:v>
                </c:pt>
                <c:pt idx="55">
                  <c:v>7775024</c:v>
                </c:pt>
                <c:pt idx="56">
                  <c:v>7908215</c:v>
                </c:pt>
                <c:pt idx="57">
                  <c:v>9853608</c:v>
                </c:pt>
                <c:pt idx="58">
                  <c:v>10794895</c:v>
                </c:pt>
                <c:pt idx="59">
                  <c:v>10612198</c:v>
                </c:pt>
                <c:pt idx="60">
                  <c:v>12689134</c:v>
                </c:pt>
                <c:pt idx="61">
                  <c:v>12195759</c:v>
                </c:pt>
                <c:pt idx="62">
                  <c:v>12486660</c:v>
                </c:pt>
                <c:pt idx="63">
                  <c:v>12249017</c:v>
                </c:pt>
                <c:pt idx="64">
                  <c:v>14821945</c:v>
                </c:pt>
                <c:pt idx="65">
                  <c:v>20349552</c:v>
                </c:pt>
                <c:pt idx="66">
                  <c:v>21619249</c:v>
                </c:pt>
                <c:pt idx="67">
                  <c:v>20547525</c:v>
                </c:pt>
                <c:pt idx="68">
                  <c:v>21400323</c:v>
                </c:pt>
                <c:pt idx="69">
                  <c:v>24280511</c:v>
                </c:pt>
                <c:pt idx="70">
                  <c:v>23458288</c:v>
                </c:pt>
                <c:pt idx="71">
                  <c:v>25133853</c:v>
                </c:pt>
                <c:pt idx="72">
                  <c:v>25330565</c:v>
                </c:pt>
                <c:pt idx="73">
                  <c:v>25278089</c:v>
                </c:pt>
                <c:pt idx="74">
                  <c:v>28026713</c:v>
                </c:pt>
                <c:pt idx="75">
                  <c:v>39641568</c:v>
                </c:pt>
                <c:pt idx="76">
                  <c:v>46451563</c:v>
                </c:pt>
                <c:pt idx="77">
                  <c:v>44091793</c:v>
                </c:pt>
                <c:pt idx="78">
                  <c:v>43109511</c:v>
                </c:pt>
                <c:pt idx="79">
                  <c:v>45939385</c:v>
                </c:pt>
                <c:pt idx="80">
                  <c:v>46514400</c:v>
                </c:pt>
                <c:pt idx="81">
                  <c:v>55872618</c:v>
                </c:pt>
                <c:pt idx="82">
                  <c:v>54923019</c:v>
                </c:pt>
                <c:pt idx="83">
                  <c:v>53536256</c:v>
                </c:pt>
                <c:pt idx="84">
                  <c:v>55158637</c:v>
                </c:pt>
                <c:pt idx="85">
                  <c:v>54388888</c:v>
                </c:pt>
                <c:pt idx="86">
                  <c:v>51570477</c:v>
                </c:pt>
                <c:pt idx="87">
                  <c:v>49880937</c:v>
                </c:pt>
                <c:pt idx="88">
                  <c:v>105295235</c:v>
                </c:pt>
                <c:pt idx="89">
                  <c:v>103628107</c:v>
                </c:pt>
                <c:pt idx="90">
                  <c:v>100407080</c:v>
                </c:pt>
                <c:pt idx="91">
                  <c:v>92307578</c:v>
                </c:pt>
                <c:pt idx="92">
                  <c:v>95371197</c:v>
                </c:pt>
                <c:pt idx="93">
                  <c:v>95880329</c:v>
                </c:pt>
                <c:pt idx="94">
                  <c:v>93470535</c:v>
                </c:pt>
                <c:pt idx="95">
                  <c:v>89648009</c:v>
                </c:pt>
                <c:pt idx="96">
                  <c:v>84157715</c:v>
                </c:pt>
                <c:pt idx="97">
                  <c:v>84843627.290000021</c:v>
                </c:pt>
                <c:pt idx="98">
                  <c:v>78539142.379999995</c:v>
                </c:pt>
                <c:pt idx="99">
                  <c:v>74992668.639999986</c:v>
                </c:pt>
                <c:pt idx="100">
                  <c:v>71125417</c:v>
                </c:pt>
                <c:pt idx="101">
                  <c:v>65255019.000000007</c:v>
                </c:pt>
                <c:pt idx="102">
                  <c:v>57230007.450000003</c:v>
                </c:pt>
              </c:numCache>
            </c:numRef>
          </c:val>
          <c:extLst>
            <c:ext xmlns:c16="http://schemas.microsoft.com/office/drawing/2014/chart" uri="{C3380CC4-5D6E-409C-BE32-E72D297353CC}">
              <c16:uniqueId val="{00000000-A2C7-4489-9027-97F2CFD83C4F}"/>
            </c:ext>
          </c:extLst>
        </c:ser>
        <c:dLbls>
          <c:showLegendKey val="0"/>
          <c:showVal val="0"/>
          <c:showCatName val="0"/>
          <c:showSerName val="0"/>
          <c:showPercent val="0"/>
          <c:showBubbleSize val="0"/>
        </c:dLbls>
        <c:axId val="55238016"/>
        <c:axId val="55761920"/>
      </c:areaChart>
      <c:lineChart>
        <c:grouping val="standard"/>
        <c:varyColors val="0"/>
        <c:ser>
          <c:idx val="1"/>
          <c:order val="1"/>
          <c:tx>
            <c:strRef>
              <c:f>'Cigarette  and Tobacco Taxes'!$E$4</c:f>
              <c:strCache>
                <c:ptCount val="1"/>
                <c:pt idx="0">
                  <c:v>Real Tax Collections</c:v>
                </c:pt>
              </c:strCache>
            </c:strRef>
          </c:tx>
          <c:spPr>
            <a:ln w="12700">
              <a:solidFill>
                <a:srgbClr val="C00000"/>
              </a:solidFill>
              <a:prstDash val="solid"/>
            </a:ln>
          </c:spPr>
          <c:marker>
            <c:symbol val="square"/>
            <c:size val="5"/>
            <c:spPr>
              <a:solidFill>
                <a:srgbClr val="FFFFFF"/>
              </a:solidFill>
              <a:ln>
                <a:solidFill>
                  <a:srgbClr val="FF0000"/>
                </a:solidFill>
                <a:prstDash val="solid"/>
              </a:ln>
            </c:spPr>
          </c:marker>
          <c:cat>
            <c:numRef>
              <c:f>'Cigarette  and Tobacco Taxes'!$A$5:$A$107</c:f>
              <c:numCache>
                <c:formatCode>General</c:formatCode>
                <c:ptCount val="103"/>
                <c:pt idx="0">
                  <c:v>1923</c:v>
                </c:pt>
                <c:pt idx="1">
                  <c:v>1924</c:v>
                </c:pt>
                <c:pt idx="2">
                  <c:v>1925</c:v>
                </c:pt>
                <c:pt idx="3">
                  <c:v>1926</c:v>
                </c:pt>
                <c:pt idx="4">
                  <c:v>1927</c:v>
                </c:pt>
                <c:pt idx="5">
                  <c:v>1928</c:v>
                </c:pt>
                <c:pt idx="6">
                  <c:v>1929</c:v>
                </c:pt>
                <c:pt idx="7">
                  <c:v>1930</c:v>
                </c:pt>
                <c:pt idx="8">
                  <c:v>1931</c:v>
                </c:pt>
                <c:pt idx="9">
                  <c:v>1932</c:v>
                </c:pt>
                <c:pt idx="10">
                  <c:v>1933</c:v>
                </c:pt>
                <c:pt idx="11">
                  <c:v>1934</c:v>
                </c:pt>
                <c:pt idx="12">
                  <c:v>1935</c:v>
                </c:pt>
                <c:pt idx="13">
                  <c:v>1936</c:v>
                </c:pt>
                <c:pt idx="14">
                  <c:v>1937</c:v>
                </c:pt>
                <c:pt idx="15">
                  <c:v>1938</c:v>
                </c:pt>
                <c:pt idx="16">
                  <c:v>1939</c:v>
                </c:pt>
                <c:pt idx="17">
                  <c:v>1940</c:v>
                </c:pt>
                <c:pt idx="18">
                  <c:v>1941</c:v>
                </c:pt>
                <c:pt idx="19">
                  <c:v>1942</c:v>
                </c:pt>
                <c:pt idx="20">
                  <c:v>1943</c:v>
                </c:pt>
                <c:pt idx="21">
                  <c:v>1944</c:v>
                </c:pt>
                <c:pt idx="22">
                  <c:v>1945</c:v>
                </c:pt>
                <c:pt idx="23">
                  <c:v>1946</c:v>
                </c:pt>
                <c:pt idx="24">
                  <c:v>1947</c:v>
                </c:pt>
                <c:pt idx="25">
                  <c:v>1948</c:v>
                </c:pt>
                <c:pt idx="26">
                  <c:v>1949</c:v>
                </c:pt>
                <c:pt idx="27">
                  <c:v>1950</c:v>
                </c:pt>
                <c:pt idx="28">
                  <c:v>1951</c:v>
                </c:pt>
                <c:pt idx="29">
                  <c:v>1952</c:v>
                </c:pt>
                <c:pt idx="30">
                  <c:v>1953</c:v>
                </c:pt>
                <c:pt idx="31">
                  <c:v>1954</c:v>
                </c:pt>
                <c:pt idx="32">
                  <c:v>1955</c:v>
                </c:pt>
                <c:pt idx="33">
                  <c:v>1956</c:v>
                </c:pt>
                <c:pt idx="34">
                  <c:v>1957</c:v>
                </c:pt>
                <c:pt idx="35">
                  <c:v>1958</c:v>
                </c:pt>
                <c:pt idx="36">
                  <c:v>1959</c:v>
                </c:pt>
                <c:pt idx="37">
                  <c:v>1960</c:v>
                </c:pt>
                <c:pt idx="38">
                  <c:v>1961</c:v>
                </c:pt>
                <c:pt idx="39">
                  <c:v>1962</c:v>
                </c:pt>
                <c:pt idx="40">
                  <c:v>1963</c:v>
                </c:pt>
                <c:pt idx="41">
                  <c:v>1964</c:v>
                </c:pt>
                <c:pt idx="42">
                  <c:v>1965</c:v>
                </c:pt>
                <c:pt idx="43">
                  <c:v>1966</c:v>
                </c:pt>
                <c:pt idx="44">
                  <c:v>1967</c:v>
                </c:pt>
                <c:pt idx="45">
                  <c:v>1968</c:v>
                </c:pt>
                <c:pt idx="46">
                  <c:v>1969</c:v>
                </c:pt>
                <c:pt idx="47">
                  <c:v>1970</c:v>
                </c:pt>
                <c:pt idx="48">
                  <c:v>1971</c:v>
                </c:pt>
                <c:pt idx="49">
                  <c:v>1972</c:v>
                </c:pt>
                <c:pt idx="50">
                  <c:v>1973</c:v>
                </c:pt>
                <c:pt idx="51">
                  <c:v>1974</c:v>
                </c:pt>
                <c:pt idx="52">
                  <c:v>1975</c:v>
                </c:pt>
                <c:pt idx="53">
                  <c:v>1976</c:v>
                </c:pt>
                <c:pt idx="54">
                  <c:v>1977</c:v>
                </c:pt>
                <c:pt idx="55">
                  <c:v>1978</c:v>
                </c:pt>
                <c:pt idx="56">
                  <c:v>1979</c:v>
                </c:pt>
                <c:pt idx="57">
                  <c:v>1980</c:v>
                </c:pt>
                <c:pt idx="58">
                  <c:v>1981</c:v>
                </c:pt>
                <c:pt idx="59">
                  <c:v>1982</c:v>
                </c:pt>
                <c:pt idx="60">
                  <c:v>1983</c:v>
                </c:pt>
                <c:pt idx="61">
                  <c:v>1984</c:v>
                </c:pt>
                <c:pt idx="62">
                  <c:v>1985</c:v>
                </c:pt>
                <c:pt idx="63">
                  <c:v>1986</c:v>
                </c:pt>
                <c:pt idx="64">
                  <c:v>1987</c:v>
                </c:pt>
                <c:pt idx="65">
                  <c:v>1988</c:v>
                </c:pt>
                <c:pt idx="66">
                  <c:v>1989</c:v>
                </c:pt>
                <c:pt idx="67">
                  <c:v>1990</c:v>
                </c:pt>
                <c:pt idx="68">
                  <c:v>1991</c:v>
                </c:pt>
                <c:pt idx="69">
                  <c:v>1992</c:v>
                </c:pt>
                <c:pt idx="70">
                  <c:v>1993</c:v>
                </c:pt>
                <c:pt idx="71">
                  <c:v>1994</c:v>
                </c:pt>
                <c:pt idx="72">
                  <c:v>1995</c:v>
                </c:pt>
                <c:pt idx="73">
                  <c:v>1996</c:v>
                </c:pt>
                <c:pt idx="74">
                  <c:v>1997</c:v>
                </c:pt>
                <c:pt idx="75">
                  <c:v>1998</c:v>
                </c:pt>
                <c:pt idx="76">
                  <c:v>1999</c:v>
                </c:pt>
                <c:pt idx="77">
                  <c:v>2000</c:v>
                </c:pt>
                <c:pt idx="78">
                  <c:v>2001</c:v>
                </c:pt>
                <c:pt idx="79">
                  <c:v>2002</c:v>
                </c:pt>
                <c:pt idx="80">
                  <c:v>2003</c:v>
                </c:pt>
                <c:pt idx="81">
                  <c:v>2004</c:v>
                </c:pt>
                <c:pt idx="82">
                  <c:v>2005</c:v>
                </c:pt>
                <c:pt idx="83">
                  <c:v>2006</c:v>
                </c:pt>
                <c:pt idx="84">
                  <c:v>2007</c:v>
                </c:pt>
                <c:pt idx="85">
                  <c:v>2008</c:v>
                </c:pt>
                <c:pt idx="86">
                  <c:v>2009</c:v>
                </c:pt>
                <c:pt idx="87">
                  <c:v>2010</c:v>
                </c:pt>
                <c:pt idx="88">
                  <c:v>2011</c:v>
                </c:pt>
                <c:pt idx="89">
                  <c:v>2012</c:v>
                </c:pt>
                <c:pt idx="90">
                  <c:v>2013</c:v>
                </c:pt>
                <c:pt idx="91">
                  <c:v>2014</c:v>
                </c:pt>
                <c:pt idx="92">
                  <c:v>2015</c:v>
                </c:pt>
                <c:pt idx="93">
                  <c:v>2016</c:v>
                </c:pt>
                <c:pt idx="94">
                  <c:v>2017</c:v>
                </c:pt>
                <c:pt idx="95">
                  <c:v>2018</c:v>
                </c:pt>
                <c:pt idx="96">
                  <c:v>2019</c:v>
                </c:pt>
                <c:pt idx="97">
                  <c:v>2020</c:v>
                </c:pt>
                <c:pt idx="98">
                  <c:v>2021</c:v>
                </c:pt>
                <c:pt idx="99">
                  <c:v>2022</c:v>
                </c:pt>
                <c:pt idx="100">
                  <c:v>2023</c:v>
                </c:pt>
                <c:pt idx="101">
                  <c:v>2024</c:v>
                </c:pt>
                <c:pt idx="102">
                  <c:v>2025</c:v>
                </c:pt>
              </c:numCache>
            </c:numRef>
          </c:cat>
          <c:val>
            <c:numRef>
              <c:f>'Cigarette  and Tobacco Taxes'!$E$5:$E$107</c:f>
              <c:numCache>
                <c:formatCode>#,##0_);[Red]\(#,##0\)</c:formatCode>
                <c:ptCount val="103"/>
                <c:pt idx="0">
                  <c:v>410714.28571428568</c:v>
                </c:pt>
                <c:pt idx="1">
                  <c:v>619883.04093567247</c:v>
                </c:pt>
                <c:pt idx="2">
                  <c:v>356725.14619883039</c:v>
                </c:pt>
                <c:pt idx="3">
                  <c:v>737142.85714285716</c:v>
                </c:pt>
                <c:pt idx="4">
                  <c:v>723163.84180790966</c:v>
                </c:pt>
                <c:pt idx="5">
                  <c:v>781609.19540229894</c:v>
                </c:pt>
                <c:pt idx="6">
                  <c:v>836257.30994152045</c:v>
                </c:pt>
                <c:pt idx="7">
                  <c:v>1128654.9707602339</c:v>
                </c:pt>
                <c:pt idx="8">
                  <c:v>1179640.7185628742</c:v>
                </c:pt>
                <c:pt idx="9">
                  <c:v>988493.42105263157</c:v>
                </c:pt>
                <c:pt idx="10">
                  <c:v>876240.87591240893</c:v>
                </c:pt>
                <c:pt idx="11">
                  <c:v>1456892.3076923077</c:v>
                </c:pt>
                <c:pt idx="12">
                  <c:v>1814664.1791044774</c:v>
                </c:pt>
                <c:pt idx="13">
                  <c:v>2076591.2408759126</c:v>
                </c:pt>
                <c:pt idx="14">
                  <c:v>2347223.0215827334</c:v>
                </c:pt>
                <c:pt idx="15">
                  <c:v>2419951.3888888885</c:v>
                </c:pt>
                <c:pt idx="16">
                  <c:v>2474617.021276596</c:v>
                </c:pt>
                <c:pt idx="17">
                  <c:v>2736992.8057553954</c:v>
                </c:pt>
                <c:pt idx="18">
                  <c:v>2638764.2857142854</c:v>
                </c:pt>
                <c:pt idx="19">
                  <c:v>2983517.0068027214</c:v>
                </c:pt>
                <c:pt idx="20">
                  <c:v>3890411.0429447852</c:v>
                </c:pt>
                <c:pt idx="21">
                  <c:v>3735988.4393063579</c:v>
                </c:pt>
                <c:pt idx="22">
                  <c:v>3142880.6818181816</c:v>
                </c:pt>
                <c:pt idx="23">
                  <c:v>4206472.222222222</c:v>
                </c:pt>
                <c:pt idx="24">
                  <c:v>4240717.948717949</c:v>
                </c:pt>
                <c:pt idx="25">
                  <c:v>3982103.1390134529</c:v>
                </c:pt>
                <c:pt idx="26">
                  <c:v>3747398.3402489624</c:v>
                </c:pt>
                <c:pt idx="27">
                  <c:v>3804575.6302521005</c:v>
                </c:pt>
                <c:pt idx="28">
                  <c:v>3863954.3568464727</c:v>
                </c:pt>
                <c:pt idx="29">
                  <c:v>3660680.769230769</c:v>
                </c:pt>
                <c:pt idx="30">
                  <c:v>3693792.4528301884</c:v>
                </c:pt>
                <c:pt idx="31">
                  <c:v>4612220.9737827713</c:v>
                </c:pt>
                <c:pt idx="32">
                  <c:v>6781702.6022304846</c:v>
                </c:pt>
                <c:pt idx="33">
                  <c:v>7154735.0746268649</c:v>
                </c:pt>
                <c:pt idx="34">
                  <c:v>7339624.9999999991</c:v>
                </c:pt>
                <c:pt idx="35">
                  <c:v>7279761.5658362983</c:v>
                </c:pt>
                <c:pt idx="36">
                  <c:v>7633678.2006920418</c:v>
                </c:pt>
                <c:pt idx="37">
                  <c:v>8005206.1855670093</c:v>
                </c:pt>
                <c:pt idx="38">
                  <c:v>8329101.3513513505</c:v>
                </c:pt>
                <c:pt idx="39">
                  <c:v>8266581.9397993311</c:v>
                </c:pt>
                <c:pt idx="40">
                  <c:v>8711016.5562913902</c:v>
                </c:pt>
                <c:pt idx="41">
                  <c:v>15254209.150326798</c:v>
                </c:pt>
                <c:pt idx="42">
                  <c:v>16113148.387096774</c:v>
                </c:pt>
                <c:pt idx="43">
                  <c:v>16008393.650793651</c:v>
                </c:pt>
                <c:pt idx="44">
                  <c:v>15411012.345679011</c:v>
                </c:pt>
                <c:pt idx="45">
                  <c:v>15055299.401197607</c:v>
                </c:pt>
                <c:pt idx="46">
                  <c:v>15053502.873563219</c:v>
                </c:pt>
                <c:pt idx="47">
                  <c:v>14425351.4986376</c:v>
                </c:pt>
                <c:pt idx="48">
                  <c:v>14424095.360824743</c:v>
                </c:pt>
                <c:pt idx="49">
                  <c:v>14957503.703703703</c:v>
                </c:pt>
                <c:pt idx="50">
                  <c:v>15051873.205741627</c:v>
                </c:pt>
                <c:pt idx="51">
                  <c:v>15095691.441441441</c:v>
                </c:pt>
                <c:pt idx="52">
                  <c:v>13919239.35091278</c:v>
                </c:pt>
                <c:pt idx="53">
                  <c:v>13510340.148698887</c:v>
                </c:pt>
                <c:pt idx="54">
                  <c:v>13150377.855887523</c:v>
                </c:pt>
                <c:pt idx="55">
                  <c:v>12830072.607260726</c:v>
                </c:pt>
                <c:pt idx="56">
                  <c:v>12129164.110429447</c:v>
                </c:pt>
                <c:pt idx="57">
                  <c:v>13572462.809917355</c:v>
                </c:pt>
                <c:pt idx="58">
                  <c:v>13100600.728155339</c:v>
                </c:pt>
                <c:pt idx="59">
                  <c:v>11674585.258525852</c:v>
                </c:pt>
                <c:pt idx="60">
                  <c:v>13149361.658031089</c:v>
                </c:pt>
                <c:pt idx="61">
                  <c:v>12244737.951807229</c:v>
                </c:pt>
                <c:pt idx="62">
                  <c:v>12017959.576515879</c:v>
                </c:pt>
                <c:pt idx="63">
                  <c:v>11383844.795539035</c:v>
                </c:pt>
                <c:pt idx="64">
                  <c:v>13523672.445255477</c:v>
                </c:pt>
                <c:pt idx="65">
                  <c:v>17913338.028169017</c:v>
                </c:pt>
                <c:pt idx="66">
                  <c:v>18274935.756551139</c:v>
                </c:pt>
                <c:pt idx="67">
                  <c:v>16570584.677419355</c:v>
                </c:pt>
                <c:pt idx="68">
                  <c:v>16373621.270084163</c:v>
                </c:pt>
                <c:pt idx="69">
                  <c:v>17827100.587371513</c:v>
                </c:pt>
                <c:pt idx="70">
                  <c:v>16720091.233071988</c:v>
                </c:pt>
                <c:pt idx="71">
                  <c:v>17393669.896193773</c:v>
                </c:pt>
                <c:pt idx="72">
                  <c:v>17092149.122807018</c:v>
                </c:pt>
                <c:pt idx="73">
                  <c:v>16586672.572178477</c:v>
                </c:pt>
                <c:pt idx="74">
                  <c:v>17862787.12555768</c:v>
                </c:pt>
                <c:pt idx="75">
                  <c:v>24698796.261682242</c:v>
                </c:pt>
                <c:pt idx="76">
                  <c:v>28497891.411042947</c:v>
                </c:pt>
                <c:pt idx="77">
                  <c:v>26465662.06482593</c:v>
                </c:pt>
                <c:pt idx="78">
                  <c:v>25034559.233449478</c:v>
                </c:pt>
                <c:pt idx="79">
                  <c:v>25939799.54827781</c:v>
                </c:pt>
                <c:pt idx="80">
                  <c:v>25855697.60978321</c:v>
                </c:pt>
                <c:pt idx="81">
                  <c:v>30365553.260869563</c:v>
                </c:pt>
                <c:pt idx="82">
                  <c:v>29075182.106934886</c:v>
                </c:pt>
                <c:pt idx="83">
                  <c:v>27412317.460317459</c:v>
                </c:pt>
                <c:pt idx="84">
                  <c:v>27360435.019841269</c:v>
                </c:pt>
                <c:pt idx="85">
                  <c:v>26231486.143666022</c:v>
                </c:pt>
                <c:pt idx="86">
                  <c:v>23952512.041169889</c:v>
                </c:pt>
                <c:pt idx="87">
                  <c:v>23250505.507208545</c:v>
                </c:pt>
                <c:pt idx="88">
                  <c:v>48288162.215210766</c:v>
                </c:pt>
                <c:pt idx="89">
                  <c:v>46069426.377817988</c:v>
                </c:pt>
                <c:pt idx="90">
                  <c:v>43732449.454254031</c:v>
                </c:pt>
                <c:pt idx="91">
                  <c:v>39624298.904948123</c:v>
                </c:pt>
                <c:pt idx="92">
                  <c:v>40285886.810624495</c:v>
                </c:pt>
                <c:pt idx="93">
                  <c:v>40452933.333895884</c:v>
                </c:pt>
                <c:pt idx="94">
                  <c:v>38944839.223774262</c:v>
                </c:pt>
                <c:pt idx="95">
                  <c:v>36573185.323893033</c:v>
                </c:pt>
                <c:pt idx="96">
                  <c:v>33514682.983747963</c:v>
                </c:pt>
                <c:pt idx="97">
                  <c:v>33186441.739436552</c:v>
                </c:pt>
                <c:pt idx="98">
                  <c:v>30346137.675755661</c:v>
                </c:pt>
                <c:pt idx="99">
                  <c:v>27675686.245130904</c:v>
                </c:pt>
                <c:pt idx="100">
                  <c:v>24303503.100920882</c:v>
                </c:pt>
                <c:pt idx="101">
                  <c:v>21416012.69437024</c:v>
                </c:pt>
                <c:pt idx="102">
                  <c:v>18244186.901676502</c:v>
                </c:pt>
              </c:numCache>
            </c:numRef>
          </c:val>
          <c:smooth val="0"/>
          <c:extLst>
            <c:ext xmlns:c16="http://schemas.microsoft.com/office/drawing/2014/chart" uri="{C3380CC4-5D6E-409C-BE32-E72D297353CC}">
              <c16:uniqueId val="{00000001-A2C7-4489-9027-97F2CFD83C4F}"/>
            </c:ext>
          </c:extLst>
        </c:ser>
        <c:dLbls>
          <c:showLegendKey val="0"/>
          <c:showVal val="0"/>
          <c:showCatName val="0"/>
          <c:showSerName val="0"/>
          <c:showPercent val="0"/>
          <c:showBubbleSize val="0"/>
        </c:dLbls>
        <c:marker val="1"/>
        <c:smooth val="0"/>
        <c:axId val="55238016"/>
        <c:axId val="55761920"/>
      </c:lineChart>
      <c:catAx>
        <c:axId val="55238016"/>
        <c:scaling>
          <c:orientation val="minMax"/>
        </c:scaling>
        <c:delete val="0"/>
        <c:axPos val="b"/>
        <c:title>
          <c:tx>
            <c:rich>
              <a:bodyPr rot="0" vert="horz" anchor="ctr" anchorCtr="1"/>
              <a:lstStyle/>
              <a:p>
                <a:pPr algn="ctr">
                  <a:defRPr sz="1200" b="1" i="0" u="none" strike="noStrike" baseline="0">
                    <a:solidFill>
                      <a:srgbClr val="000000"/>
                    </a:solidFill>
                    <a:latin typeface="Times New Roman"/>
                    <a:ea typeface="Times New Roman"/>
                    <a:cs typeface="Times New Roman"/>
                  </a:defRPr>
                </a:pPr>
                <a:r>
                  <a:rPr lang="en-US"/>
                  <a:t>Fiscal Year</a:t>
                </a:r>
              </a:p>
            </c:rich>
          </c:tx>
          <c:layout>
            <c:manualLayout>
              <c:xMode val="edge"/>
              <c:yMode val="edge"/>
              <c:x val="0.50326940323682112"/>
              <c:y val="0.92711440481703922"/>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Times New Roman"/>
                <a:ea typeface="Times New Roman"/>
                <a:cs typeface="Times New Roman"/>
              </a:defRPr>
            </a:pPr>
            <a:endParaRPr lang="en-US"/>
          </a:p>
        </c:txPr>
        <c:crossAx val="55761920"/>
        <c:crosses val="autoZero"/>
        <c:auto val="0"/>
        <c:lblAlgn val="ctr"/>
        <c:lblOffset val="100"/>
        <c:tickLblSkip val="4"/>
        <c:tickMarkSkip val="1"/>
        <c:noMultiLvlLbl val="0"/>
      </c:catAx>
      <c:valAx>
        <c:axId val="55761920"/>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Times New Roman"/>
                    <a:ea typeface="Times New Roman"/>
                    <a:cs typeface="Times New Roman"/>
                  </a:defRPr>
                </a:pPr>
                <a:r>
                  <a:rPr lang="en-US"/>
                  <a:t>Collections</a:t>
                </a:r>
              </a:p>
            </c:rich>
          </c:tx>
          <c:layout>
            <c:manualLayout>
              <c:xMode val="edge"/>
              <c:yMode val="edge"/>
              <c:x val="1.4314088481886473E-2"/>
              <c:y val="0.35621334663483806"/>
            </c:manualLayout>
          </c:layout>
          <c:overlay val="0"/>
          <c:spPr>
            <a:noFill/>
            <a:ln w="25400">
              <a:noFill/>
            </a:ln>
          </c:spPr>
        </c:title>
        <c:numFmt formatCode="\$#,##0_);\(\$#,##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en-US"/>
          </a:p>
        </c:txPr>
        <c:crossAx val="55238016"/>
        <c:crosses val="autoZero"/>
        <c:crossBetween val="midCat"/>
      </c:valAx>
      <c:spPr>
        <a:noFill/>
        <a:ln w="3175">
          <a:solidFill>
            <a:srgbClr val="000000"/>
          </a:solidFill>
          <a:prstDash val="solid"/>
        </a:ln>
      </c:spPr>
    </c:plotArea>
    <c:legend>
      <c:legendPos val="r"/>
      <c:layout>
        <c:manualLayout>
          <c:xMode val="edge"/>
          <c:yMode val="edge"/>
          <c:x val="0.2444498419251446"/>
          <c:y val="0.14197284487630044"/>
          <c:w val="0.55415101325501182"/>
          <c:h val="9.5935004590857839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oddHeader>&amp;A</c:oddHeader>
      <c:oddFooter>&amp;L&amp;"Times New Roman,Regular"&amp;8Real numbers are based on using the CPI of the previous year.
The CPI base period for real numbers: 1982 to 1984 = 100.&amp;R&amp;"Times New Roman,Regular"&amp;8Economic and Statistical Unit
Utah State Tax Commission</c:oddFooter>
    </c:headerFooter>
    <c:pageMargins b="1" l="0.75000000000000722" r="0.75000000000000722" t="1" header="0.5" footer="0.5"/>
    <c:pageSetup orientation="landscape"/>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b="1" i="0" u="none" strike="noStrike" baseline="0">
                <a:solidFill>
                  <a:srgbClr val="000000"/>
                </a:solidFill>
                <a:latin typeface="Times New Roman"/>
                <a:ea typeface="Times New Roman"/>
                <a:cs typeface="Times New Roman"/>
              </a:defRPr>
            </a:pPr>
            <a:r>
              <a:rPr lang="en-US"/>
              <a:t>Beer: Taxable Gallons Sold</a:t>
            </a:r>
          </a:p>
        </c:rich>
      </c:tx>
      <c:layout>
        <c:manualLayout>
          <c:xMode val="edge"/>
          <c:yMode val="edge"/>
          <c:x val="0.34175897890528151"/>
          <c:y val="3.3035713664990522E-2"/>
        </c:manualLayout>
      </c:layout>
      <c:overlay val="0"/>
      <c:spPr>
        <a:noFill/>
        <a:ln w="25400">
          <a:noFill/>
        </a:ln>
      </c:spPr>
    </c:title>
    <c:autoTitleDeleted val="0"/>
    <c:plotArea>
      <c:layout>
        <c:manualLayout>
          <c:layoutTarget val="inner"/>
          <c:xMode val="edge"/>
          <c:yMode val="edge"/>
          <c:x val="0.18693495125715118"/>
          <c:y val="0.13838096284010609"/>
          <c:w val="0.74978773629866846"/>
          <c:h val="0.67212013696088413"/>
        </c:manualLayout>
      </c:layout>
      <c:areaChart>
        <c:grouping val="stacked"/>
        <c:varyColors val="0"/>
        <c:ser>
          <c:idx val="0"/>
          <c:order val="0"/>
          <c:spPr>
            <a:ln>
              <a:solidFill>
                <a:srgbClr val="000000"/>
              </a:solidFill>
            </a:ln>
          </c:spPr>
          <c:cat>
            <c:numRef>
              <c:f>'Beer Tax'!$A$4:$A$95</c:f>
              <c:numCache>
                <c:formatCode>General</c:formatCode>
                <c:ptCount val="92"/>
                <c:pt idx="0">
                  <c:v>1934</c:v>
                </c:pt>
                <c:pt idx="1">
                  <c:v>1935</c:v>
                </c:pt>
                <c:pt idx="2">
                  <c:v>1936</c:v>
                </c:pt>
                <c:pt idx="3">
                  <c:v>1937</c:v>
                </c:pt>
                <c:pt idx="4">
                  <c:v>1938</c:v>
                </c:pt>
                <c:pt idx="5">
                  <c:v>1939</c:v>
                </c:pt>
                <c:pt idx="6">
                  <c:v>1940</c:v>
                </c:pt>
                <c:pt idx="7">
                  <c:v>1941</c:v>
                </c:pt>
                <c:pt idx="8">
                  <c:v>1942</c:v>
                </c:pt>
                <c:pt idx="9">
                  <c:v>1943</c:v>
                </c:pt>
                <c:pt idx="10">
                  <c:v>1944</c:v>
                </c:pt>
                <c:pt idx="11">
                  <c:v>1945</c:v>
                </c:pt>
                <c:pt idx="12">
                  <c:v>1946</c:v>
                </c:pt>
                <c:pt idx="13">
                  <c:v>1947</c:v>
                </c:pt>
                <c:pt idx="14">
                  <c:v>1948</c:v>
                </c:pt>
                <c:pt idx="15">
                  <c:v>1949</c:v>
                </c:pt>
                <c:pt idx="16">
                  <c:v>1950</c:v>
                </c:pt>
                <c:pt idx="17">
                  <c:v>1951</c:v>
                </c:pt>
                <c:pt idx="18">
                  <c:v>1952</c:v>
                </c:pt>
                <c:pt idx="19">
                  <c:v>1953</c:v>
                </c:pt>
                <c:pt idx="20">
                  <c:v>1954</c:v>
                </c:pt>
                <c:pt idx="21">
                  <c:v>1955</c:v>
                </c:pt>
                <c:pt idx="22">
                  <c:v>1956</c:v>
                </c:pt>
                <c:pt idx="23">
                  <c:v>1957</c:v>
                </c:pt>
                <c:pt idx="24">
                  <c:v>1958</c:v>
                </c:pt>
                <c:pt idx="25">
                  <c:v>1959</c:v>
                </c:pt>
                <c:pt idx="26">
                  <c:v>1960</c:v>
                </c:pt>
                <c:pt idx="27">
                  <c:v>1961</c:v>
                </c:pt>
                <c:pt idx="28">
                  <c:v>1962</c:v>
                </c:pt>
                <c:pt idx="29">
                  <c:v>1963</c:v>
                </c:pt>
                <c:pt idx="30">
                  <c:v>1964</c:v>
                </c:pt>
                <c:pt idx="31">
                  <c:v>1965</c:v>
                </c:pt>
                <c:pt idx="32">
                  <c:v>1966</c:v>
                </c:pt>
                <c:pt idx="33">
                  <c:v>1967</c:v>
                </c:pt>
                <c:pt idx="34">
                  <c:v>1968</c:v>
                </c:pt>
                <c:pt idx="35">
                  <c:v>1969</c:v>
                </c:pt>
                <c:pt idx="36">
                  <c:v>1970</c:v>
                </c:pt>
                <c:pt idx="37">
                  <c:v>1971</c:v>
                </c:pt>
                <c:pt idx="38">
                  <c:v>1972</c:v>
                </c:pt>
                <c:pt idx="39">
                  <c:v>1973</c:v>
                </c:pt>
                <c:pt idx="40">
                  <c:v>1974</c:v>
                </c:pt>
                <c:pt idx="41">
                  <c:v>1975</c:v>
                </c:pt>
                <c:pt idx="42">
                  <c:v>1976</c:v>
                </c:pt>
                <c:pt idx="43">
                  <c:v>1977</c:v>
                </c:pt>
                <c:pt idx="44">
                  <c:v>1978</c:v>
                </c:pt>
                <c:pt idx="45">
                  <c:v>1979</c:v>
                </c:pt>
                <c:pt idx="46">
                  <c:v>1980</c:v>
                </c:pt>
                <c:pt idx="47">
                  <c:v>1981</c:v>
                </c:pt>
                <c:pt idx="48">
                  <c:v>1982</c:v>
                </c:pt>
                <c:pt idx="49">
                  <c:v>1983</c:v>
                </c:pt>
                <c:pt idx="50">
                  <c:v>1984</c:v>
                </c:pt>
                <c:pt idx="51">
                  <c:v>1985</c:v>
                </c:pt>
                <c:pt idx="52">
                  <c:v>1986</c:v>
                </c:pt>
                <c:pt idx="53">
                  <c:v>1987</c:v>
                </c:pt>
                <c:pt idx="54">
                  <c:v>1988</c:v>
                </c:pt>
                <c:pt idx="55">
                  <c:v>1989</c:v>
                </c:pt>
                <c:pt idx="56">
                  <c:v>1990</c:v>
                </c:pt>
                <c:pt idx="57">
                  <c:v>1991</c:v>
                </c:pt>
                <c:pt idx="58">
                  <c:v>1992</c:v>
                </c:pt>
                <c:pt idx="59">
                  <c:v>1993</c:v>
                </c:pt>
                <c:pt idx="60">
                  <c:v>1994</c:v>
                </c:pt>
                <c:pt idx="61">
                  <c:v>1995</c:v>
                </c:pt>
                <c:pt idx="62">
                  <c:v>1996</c:v>
                </c:pt>
                <c:pt idx="63">
                  <c:v>1997</c:v>
                </c:pt>
                <c:pt idx="64">
                  <c:v>1998</c:v>
                </c:pt>
                <c:pt idx="65">
                  <c:v>1999</c:v>
                </c:pt>
                <c:pt idx="66">
                  <c:v>2000</c:v>
                </c:pt>
                <c:pt idx="67">
                  <c:v>2001</c:v>
                </c:pt>
                <c:pt idx="68">
                  <c:v>2002</c:v>
                </c:pt>
                <c:pt idx="69">
                  <c:v>2003</c:v>
                </c:pt>
                <c:pt idx="70">
                  <c:v>2004</c:v>
                </c:pt>
                <c:pt idx="71">
                  <c:v>2005</c:v>
                </c:pt>
                <c:pt idx="72">
                  <c:v>2006</c:v>
                </c:pt>
                <c:pt idx="73">
                  <c:v>2007</c:v>
                </c:pt>
                <c:pt idx="74">
                  <c:v>2008</c:v>
                </c:pt>
                <c:pt idx="75">
                  <c:v>2009</c:v>
                </c:pt>
                <c:pt idx="76">
                  <c:v>2010</c:v>
                </c:pt>
                <c:pt idx="77">
                  <c:v>2011</c:v>
                </c:pt>
                <c:pt idx="78">
                  <c:v>2012</c:v>
                </c:pt>
                <c:pt idx="79">
                  <c:v>2013</c:v>
                </c:pt>
                <c:pt idx="80">
                  <c:v>2014</c:v>
                </c:pt>
                <c:pt idx="81">
                  <c:v>2015</c:v>
                </c:pt>
                <c:pt idx="82">
                  <c:v>2016</c:v>
                </c:pt>
                <c:pt idx="83">
                  <c:v>2017</c:v>
                </c:pt>
                <c:pt idx="84">
                  <c:v>2018</c:v>
                </c:pt>
                <c:pt idx="85">
                  <c:v>2019</c:v>
                </c:pt>
                <c:pt idx="86">
                  <c:v>2020</c:v>
                </c:pt>
                <c:pt idx="87">
                  <c:v>2021</c:v>
                </c:pt>
                <c:pt idx="88">
                  <c:v>2022</c:v>
                </c:pt>
                <c:pt idx="89">
                  <c:v>2023</c:v>
                </c:pt>
                <c:pt idx="90">
                  <c:v>2024</c:v>
                </c:pt>
                <c:pt idx="91">
                  <c:v>2025</c:v>
                </c:pt>
              </c:numCache>
            </c:numRef>
          </c:cat>
          <c:val>
            <c:numRef>
              <c:f>'Beer Tax'!$I$4:$I$95</c:f>
              <c:numCache>
                <c:formatCode>#,##0_);[Red]\(#,##0\)</c:formatCode>
                <c:ptCount val="92"/>
                <c:pt idx="0">
                  <c:v>2207716.666666667</c:v>
                </c:pt>
                <c:pt idx="1">
                  <c:v>5071514.6788990824</c:v>
                </c:pt>
                <c:pt idx="2">
                  <c:v>4068711.25</c:v>
                </c:pt>
                <c:pt idx="3">
                  <c:v>4399636.25</c:v>
                </c:pt>
                <c:pt idx="4">
                  <c:v>4652325</c:v>
                </c:pt>
                <c:pt idx="5">
                  <c:v>4367047.5</c:v>
                </c:pt>
                <c:pt idx="6">
                  <c:v>4526077.5</c:v>
                </c:pt>
                <c:pt idx="7">
                  <c:v>4276605</c:v>
                </c:pt>
                <c:pt idx="8">
                  <c:v>4834682.5</c:v>
                </c:pt>
                <c:pt idx="9">
                  <c:v>7701368.75</c:v>
                </c:pt>
                <c:pt idx="10">
                  <c:v>7693347.5</c:v>
                </c:pt>
                <c:pt idx="11">
                  <c:v>8158055.9523809534</c:v>
                </c:pt>
                <c:pt idx="12">
                  <c:v>8661230.9090909082</c:v>
                </c:pt>
                <c:pt idx="13">
                  <c:v>8651198.1818181816</c:v>
                </c:pt>
                <c:pt idx="14">
                  <c:v>8618845.4545454532</c:v>
                </c:pt>
                <c:pt idx="15">
                  <c:v>7895530.9090909082</c:v>
                </c:pt>
                <c:pt idx="16">
                  <c:v>7831248.1818181807</c:v>
                </c:pt>
                <c:pt idx="17">
                  <c:v>8343593.6363636367</c:v>
                </c:pt>
                <c:pt idx="18">
                  <c:v>7585474.5454545449</c:v>
                </c:pt>
                <c:pt idx="19">
                  <c:v>6063571.8181818174</c:v>
                </c:pt>
                <c:pt idx="20">
                  <c:v>6165139.0909090908</c:v>
                </c:pt>
                <c:pt idx="21">
                  <c:v>6423707.2727272725</c:v>
                </c:pt>
                <c:pt idx="22">
                  <c:v>7288691.8181818174</c:v>
                </c:pt>
                <c:pt idx="23">
                  <c:v>6662153.6363636358</c:v>
                </c:pt>
                <c:pt idx="24">
                  <c:v>7199299.0909090908</c:v>
                </c:pt>
                <c:pt idx="25">
                  <c:v>6775472.7272727266</c:v>
                </c:pt>
                <c:pt idx="26">
                  <c:v>7134509.0909090908</c:v>
                </c:pt>
                <c:pt idx="27">
                  <c:v>7362049.0909090908</c:v>
                </c:pt>
                <c:pt idx="28">
                  <c:v>8037510.9090909082</c:v>
                </c:pt>
                <c:pt idx="29">
                  <c:v>8061690.9090909082</c:v>
                </c:pt>
                <c:pt idx="30">
                  <c:v>8716720.9090909082</c:v>
                </c:pt>
                <c:pt idx="31">
                  <c:v>8934397.2727272715</c:v>
                </c:pt>
                <c:pt idx="32">
                  <c:v>8516996.3636363633</c:v>
                </c:pt>
                <c:pt idx="33">
                  <c:v>9956072.7272727266</c:v>
                </c:pt>
                <c:pt idx="34">
                  <c:v>9639224.5454545449</c:v>
                </c:pt>
                <c:pt idx="35">
                  <c:v>10265396.363636363</c:v>
                </c:pt>
                <c:pt idx="36">
                  <c:v>11514414.545454545</c:v>
                </c:pt>
                <c:pt idx="37">
                  <c:v>12193709.09090909</c:v>
                </c:pt>
                <c:pt idx="38">
                  <c:v>12119020</c:v>
                </c:pt>
                <c:pt idx="39">
                  <c:v>14138860</c:v>
                </c:pt>
                <c:pt idx="40">
                  <c:v>15076190</c:v>
                </c:pt>
                <c:pt idx="41">
                  <c:v>16299219.999999998</c:v>
                </c:pt>
                <c:pt idx="42">
                  <c:v>16928210</c:v>
                </c:pt>
                <c:pt idx="43">
                  <c:v>19045520</c:v>
                </c:pt>
                <c:pt idx="44">
                  <c:v>19854180</c:v>
                </c:pt>
                <c:pt idx="45">
                  <c:v>19134380</c:v>
                </c:pt>
                <c:pt idx="46">
                  <c:v>21740580</c:v>
                </c:pt>
                <c:pt idx="47">
                  <c:v>22271200</c:v>
                </c:pt>
                <c:pt idx="48">
                  <c:v>22143796.601941746</c:v>
                </c:pt>
                <c:pt idx="49">
                  <c:v>22191365.048543688</c:v>
                </c:pt>
                <c:pt idx="50">
                  <c:v>20106109.636363633</c:v>
                </c:pt>
                <c:pt idx="51">
                  <c:v>22911536.363636367</c:v>
                </c:pt>
                <c:pt idx="52">
                  <c:v>22315293.636363633</c:v>
                </c:pt>
                <c:pt idx="53">
                  <c:v>22666112.18181818</c:v>
                </c:pt>
                <c:pt idx="54">
                  <c:v>21303808.727272727</c:v>
                </c:pt>
                <c:pt idx="55">
                  <c:v>21533211.545454547</c:v>
                </c:pt>
                <c:pt idx="56">
                  <c:v>22337512.18181818</c:v>
                </c:pt>
                <c:pt idx="57">
                  <c:v>21821229.727272727</c:v>
                </c:pt>
                <c:pt idx="58">
                  <c:v>23900174.272727273</c:v>
                </c:pt>
                <c:pt idx="59">
                  <c:v>23997807.363636367</c:v>
                </c:pt>
                <c:pt idx="60">
                  <c:v>24728877.545454547</c:v>
                </c:pt>
                <c:pt idx="61">
                  <c:v>25833021.454545453</c:v>
                </c:pt>
                <c:pt idx="62">
                  <c:v>25618997.454545453</c:v>
                </c:pt>
                <c:pt idx="63">
                  <c:v>26661051.18181818</c:v>
                </c:pt>
                <c:pt idx="64">
                  <c:v>26622952.18181818</c:v>
                </c:pt>
                <c:pt idx="65">
                  <c:v>27696392</c:v>
                </c:pt>
                <c:pt idx="66">
                  <c:v>28246647.636363633</c:v>
                </c:pt>
                <c:pt idx="67">
                  <c:v>29084563.545454547</c:v>
                </c:pt>
                <c:pt idx="68">
                  <c:v>29507107.636363633</c:v>
                </c:pt>
                <c:pt idx="69">
                  <c:v>29186891.727272727</c:v>
                </c:pt>
                <c:pt idx="70">
                  <c:v>28803708.125</c:v>
                </c:pt>
                <c:pt idx="71">
                  <c:v>29188563.4375</c:v>
                </c:pt>
                <c:pt idx="72">
                  <c:v>30181331.171875</c:v>
                </c:pt>
                <c:pt idx="73">
                  <c:v>31332952.109375</c:v>
                </c:pt>
                <c:pt idx="74">
                  <c:v>34039736.484375</c:v>
                </c:pt>
                <c:pt idx="75">
                  <c:v>33889246.015625</c:v>
                </c:pt>
                <c:pt idx="76">
                  <c:v>32325315.390625</c:v>
                </c:pt>
                <c:pt idx="77">
                  <c:v>31171451.796875</c:v>
                </c:pt>
                <c:pt idx="78">
                  <c:v>33262883.75</c:v>
                </c:pt>
                <c:pt idx="79">
                  <c:v>32794134.6875</c:v>
                </c:pt>
                <c:pt idx="80">
                  <c:v>32827636.484375</c:v>
                </c:pt>
                <c:pt idx="81">
                  <c:v>32915548.125</c:v>
                </c:pt>
                <c:pt idx="82">
                  <c:v>34071700.390625</c:v>
                </c:pt>
                <c:pt idx="83">
                  <c:v>35638152.1875</c:v>
                </c:pt>
                <c:pt idx="84">
                  <c:v>33950013.28125</c:v>
                </c:pt>
                <c:pt idx="85">
                  <c:v>34398646.25</c:v>
                </c:pt>
                <c:pt idx="86">
                  <c:v>38211963.139552817</c:v>
                </c:pt>
                <c:pt idx="87">
                  <c:v>42311704.960305341</c:v>
                </c:pt>
                <c:pt idx="88">
                  <c:v>43528688.761832073</c:v>
                </c:pt>
                <c:pt idx="89">
                  <c:v>43909784.351145037</c:v>
                </c:pt>
                <c:pt idx="90">
                  <c:v>44074623.91679389</c:v>
                </c:pt>
                <c:pt idx="91">
                  <c:v>43337559.507346056</c:v>
                </c:pt>
              </c:numCache>
            </c:numRef>
          </c:val>
          <c:extLst>
            <c:ext xmlns:c16="http://schemas.microsoft.com/office/drawing/2014/chart" uri="{C3380CC4-5D6E-409C-BE32-E72D297353CC}">
              <c16:uniqueId val="{00000000-14E7-4141-8D64-EC81277FD07A}"/>
            </c:ext>
          </c:extLst>
        </c:ser>
        <c:dLbls>
          <c:showLegendKey val="0"/>
          <c:showVal val="0"/>
          <c:showCatName val="0"/>
          <c:showSerName val="0"/>
          <c:showPercent val="0"/>
          <c:showBubbleSize val="0"/>
        </c:dLbls>
        <c:axId val="57577472"/>
        <c:axId val="57579392"/>
      </c:areaChart>
      <c:catAx>
        <c:axId val="57577472"/>
        <c:scaling>
          <c:orientation val="minMax"/>
        </c:scaling>
        <c:delete val="0"/>
        <c:axPos val="b"/>
        <c:title>
          <c:tx>
            <c:rich>
              <a:bodyPr/>
              <a:lstStyle/>
              <a:p>
                <a:pPr>
                  <a:defRPr sz="1200" b="1" i="0" u="none" strike="noStrike" baseline="0">
                    <a:solidFill>
                      <a:srgbClr val="000000"/>
                    </a:solidFill>
                    <a:latin typeface="Times New Roman"/>
                    <a:ea typeface="Times New Roman"/>
                    <a:cs typeface="Times New Roman"/>
                  </a:defRPr>
                </a:pPr>
                <a:r>
                  <a:rPr lang="en-US"/>
                  <a:t>Fiscal Year</a:t>
                </a:r>
              </a:p>
            </c:rich>
          </c:tx>
          <c:layout>
            <c:manualLayout>
              <c:xMode val="edge"/>
              <c:yMode val="edge"/>
              <c:x val="0.49160113201811928"/>
              <c:y val="0.91939942734431579"/>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Times New Roman"/>
                <a:ea typeface="Times New Roman"/>
                <a:cs typeface="Times New Roman"/>
              </a:defRPr>
            </a:pPr>
            <a:endParaRPr lang="en-US"/>
          </a:p>
        </c:txPr>
        <c:crossAx val="57579392"/>
        <c:crosses val="autoZero"/>
        <c:auto val="0"/>
        <c:lblAlgn val="ctr"/>
        <c:lblOffset val="100"/>
        <c:tickMarkSkip val="1"/>
        <c:noMultiLvlLbl val="0"/>
      </c:catAx>
      <c:valAx>
        <c:axId val="57579392"/>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Times New Roman"/>
                    <a:ea typeface="Times New Roman"/>
                    <a:cs typeface="Times New Roman"/>
                  </a:defRPr>
                </a:pPr>
                <a:r>
                  <a:rPr lang="en-US"/>
                  <a:t>Gallons Sold</a:t>
                </a:r>
              </a:p>
            </c:rich>
          </c:tx>
          <c:layout>
            <c:manualLayout>
              <c:xMode val="edge"/>
              <c:yMode val="edge"/>
              <c:x val="2.4708619087553691E-2"/>
              <c:y val="0.3018071536709788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en-US"/>
          </a:p>
        </c:txPr>
        <c:crossAx val="57577472"/>
        <c:crosses val="autoZero"/>
        <c:crossBetween val="midCat"/>
      </c:valAx>
      <c:spPr>
        <a:noFill/>
        <a:ln w="3175">
          <a:solidFill>
            <a:srgbClr val="00000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&amp;L&amp;"Times New Roman,Regular"&amp;8Real numbers are based on using the CPI and population of the previous year.
The CPI base period for real numbers: 1982 to 1984 = 100.&amp;R&amp;"Times New Roman,Regular"&amp;8Economic and Statistical Unit
Utah State Tax Commission</c:oddFooter>
    </c:headerFooter>
    <c:pageMargins b="1" l="0.75000000000000655" r="0.75000000000000655" t="1" header="0.5" footer="0.5"/>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b="1" i="0" u="none" strike="noStrike" baseline="0">
                <a:solidFill>
                  <a:srgbClr val="000000"/>
                </a:solidFill>
                <a:latin typeface="Times New Roman"/>
                <a:ea typeface="Times New Roman"/>
                <a:cs typeface="Times New Roman"/>
              </a:defRPr>
            </a:pPr>
            <a:r>
              <a:rPr lang="en-US"/>
              <a:t>Beer Tax: Real Per Capita</a:t>
            </a:r>
          </a:p>
        </c:rich>
      </c:tx>
      <c:layout>
        <c:manualLayout>
          <c:xMode val="edge"/>
          <c:yMode val="edge"/>
          <c:x val="0.35253666690247287"/>
          <c:y val="3.0092633545938309E-2"/>
        </c:manualLayout>
      </c:layout>
      <c:overlay val="0"/>
      <c:spPr>
        <a:noFill/>
        <a:ln w="25400">
          <a:noFill/>
        </a:ln>
      </c:spPr>
    </c:title>
    <c:autoTitleDeleted val="0"/>
    <c:plotArea>
      <c:layout>
        <c:manualLayout>
          <c:layoutTarget val="inner"/>
          <c:xMode val="edge"/>
          <c:yMode val="edge"/>
          <c:x val="0.10818486395755372"/>
          <c:y val="0.13838096284010609"/>
          <c:w val="0.82853778243435916"/>
          <c:h val="0.67212013696088413"/>
        </c:manualLayout>
      </c:layout>
      <c:areaChart>
        <c:grouping val="stacked"/>
        <c:varyColors val="0"/>
        <c:ser>
          <c:idx val="0"/>
          <c:order val="0"/>
          <c:spPr>
            <a:ln>
              <a:solidFill>
                <a:srgbClr val="000000"/>
              </a:solidFill>
            </a:ln>
          </c:spPr>
          <c:cat>
            <c:numRef>
              <c:f>'Beer Tax'!$A$4:$A$95</c:f>
              <c:numCache>
                <c:formatCode>General</c:formatCode>
                <c:ptCount val="92"/>
                <c:pt idx="0">
                  <c:v>1934</c:v>
                </c:pt>
                <c:pt idx="1">
                  <c:v>1935</c:v>
                </c:pt>
                <c:pt idx="2">
                  <c:v>1936</c:v>
                </c:pt>
                <c:pt idx="3">
                  <c:v>1937</c:v>
                </c:pt>
                <c:pt idx="4">
                  <c:v>1938</c:v>
                </c:pt>
                <c:pt idx="5">
                  <c:v>1939</c:v>
                </c:pt>
                <c:pt idx="6">
                  <c:v>1940</c:v>
                </c:pt>
                <c:pt idx="7">
                  <c:v>1941</c:v>
                </c:pt>
                <c:pt idx="8">
                  <c:v>1942</c:v>
                </c:pt>
                <c:pt idx="9">
                  <c:v>1943</c:v>
                </c:pt>
                <c:pt idx="10">
                  <c:v>1944</c:v>
                </c:pt>
                <c:pt idx="11">
                  <c:v>1945</c:v>
                </c:pt>
                <c:pt idx="12">
                  <c:v>1946</c:v>
                </c:pt>
                <c:pt idx="13">
                  <c:v>1947</c:v>
                </c:pt>
                <c:pt idx="14">
                  <c:v>1948</c:v>
                </c:pt>
                <c:pt idx="15">
                  <c:v>1949</c:v>
                </c:pt>
                <c:pt idx="16">
                  <c:v>1950</c:v>
                </c:pt>
                <c:pt idx="17">
                  <c:v>1951</c:v>
                </c:pt>
                <c:pt idx="18">
                  <c:v>1952</c:v>
                </c:pt>
                <c:pt idx="19">
                  <c:v>1953</c:v>
                </c:pt>
                <c:pt idx="20">
                  <c:v>1954</c:v>
                </c:pt>
                <c:pt idx="21">
                  <c:v>1955</c:v>
                </c:pt>
                <c:pt idx="22">
                  <c:v>1956</c:v>
                </c:pt>
                <c:pt idx="23">
                  <c:v>1957</c:v>
                </c:pt>
                <c:pt idx="24">
                  <c:v>1958</c:v>
                </c:pt>
                <c:pt idx="25">
                  <c:v>1959</c:v>
                </c:pt>
                <c:pt idx="26">
                  <c:v>1960</c:v>
                </c:pt>
                <c:pt idx="27">
                  <c:v>1961</c:v>
                </c:pt>
                <c:pt idx="28">
                  <c:v>1962</c:v>
                </c:pt>
                <c:pt idx="29">
                  <c:v>1963</c:v>
                </c:pt>
                <c:pt idx="30">
                  <c:v>1964</c:v>
                </c:pt>
                <c:pt idx="31">
                  <c:v>1965</c:v>
                </c:pt>
                <c:pt idx="32">
                  <c:v>1966</c:v>
                </c:pt>
                <c:pt idx="33">
                  <c:v>1967</c:v>
                </c:pt>
                <c:pt idx="34">
                  <c:v>1968</c:v>
                </c:pt>
                <c:pt idx="35">
                  <c:v>1969</c:v>
                </c:pt>
                <c:pt idx="36">
                  <c:v>1970</c:v>
                </c:pt>
                <c:pt idx="37">
                  <c:v>1971</c:v>
                </c:pt>
                <c:pt idx="38">
                  <c:v>1972</c:v>
                </c:pt>
                <c:pt idx="39">
                  <c:v>1973</c:v>
                </c:pt>
                <c:pt idx="40">
                  <c:v>1974</c:v>
                </c:pt>
                <c:pt idx="41">
                  <c:v>1975</c:v>
                </c:pt>
                <c:pt idx="42">
                  <c:v>1976</c:v>
                </c:pt>
                <c:pt idx="43">
                  <c:v>1977</c:v>
                </c:pt>
                <c:pt idx="44">
                  <c:v>1978</c:v>
                </c:pt>
                <c:pt idx="45">
                  <c:v>1979</c:v>
                </c:pt>
                <c:pt idx="46">
                  <c:v>1980</c:v>
                </c:pt>
                <c:pt idx="47">
                  <c:v>1981</c:v>
                </c:pt>
                <c:pt idx="48">
                  <c:v>1982</c:v>
                </c:pt>
                <c:pt idx="49">
                  <c:v>1983</c:v>
                </c:pt>
                <c:pt idx="50">
                  <c:v>1984</c:v>
                </c:pt>
                <c:pt idx="51">
                  <c:v>1985</c:v>
                </c:pt>
                <c:pt idx="52">
                  <c:v>1986</c:v>
                </c:pt>
                <c:pt idx="53">
                  <c:v>1987</c:v>
                </c:pt>
                <c:pt idx="54">
                  <c:v>1988</c:v>
                </c:pt>
                <c:pt idx="55">
                  <c:v>1989</c:v>
                </c:pt>
                <c:pt idx="56">
                  <c:v>1990</c:v>
                </c:pt>
                <c:pt idx="57">
                  <c:v>1991</c:v>
                </c:pt>
                <c:pt idx="58">
                  <c:v>1992</c:v>
                </c:pt>
                <c:pt idx="59">
                  <c:v>1993</c:v>
                </c:pt>
                <c:pt idx="60">
                  <c:v>1994</c:v>
                </c:pt>
                <c:pt idx="61">
                  <c:v>1995</c:v>
                </c:pt>
                <c:pt idx="62">
                  <c:v>1996</c:v>
                </c:pt>
                <c:pt idx="63">
                  <c:v>1997</c:v>
                </c:pt>
                <c:pt idx="64">
                  <c:v>1998</c:v>
                </c:pt>
                <c:pt idx="65">
                  <c:v>1999</c:v>
                </c:pt>
                <c:pt idx="66">
                  <c:v>2000</c:v>
                </c:pt>
                <c:pt idx="67">
                  <c:v>2001</c:v>
                </c:pt>
                <c:pt idx="68">
                  <c:v>2002</c:v>
                </c:pt>
                <c:pt idx="69">
                  <c:v>2003</c:v>
                </c:pt>
                <c:pt idx="70">
                  <c:v>2004</c:v>
                </c:pt>
                <c:pt idx="71">
                  <c:v>2005</c:v>
                </c:pt>
                <c:pt idx="72">
                  <c:v>2006</c:v>
                </c:pt>
                <c:pt idx="73">
                  <c:v>2007</c:v>
                </c:pt>
                <c:pt idx="74">
                  <c:v>2008</c:v>
                </c:pt>
                <c:pt idx="75">
                  <c:v>2009</c:v>
                </c:pt>
                <c:pt idx="76">
                  <c:v>2010</c:v>
                </c:pt>
                <c:pt idx="77">
                  <c:v>2011</c:v>
                </c:pt>
                <c:pt idx="78">
                  <c:v>2012</c:v>
                </c:pt>
                <c:pt idx="79">
                  <c:v>2013</c:v>
                </c:pt>
                <c:pt idx="80">
                  <c:v>2014</c:v>
                </c:pt>
                <c:pt idx="81">
                  <c:v>2015</c:v>
                </c:pt>
                <c:pt idx="82">
                  <c:v>2016</c:v>
                </c:pt>
                <c:pt idx="83">
                  <c:v>2017</c:v>
                </c:pt>
                <c:pt idx="84">
                  <c:v>2018</c:v>
                </c:pt>
                <c:pt idx="85">
                  <c:v>2019</c:v>
                </c:pt>
                <c:pt idx="86">
                  <c:v>2020</c:v>
                </c:pt>
                <c:pt idx="87">
                  <c:v>2021</c:v>
                </c:pt>
                <c:pt idx="88">
                  <c:v>2022</c:v>
                </c:pt>
                <c:pt idx="89">
                  <c:v>2023</c:v>
                </c:pt>
                <c:pt idx="90">
                  <c:v>2024</c:v>
                </c:pt>
                <c:pt idx="91">
                  <c:v>2025</c:v>
                </c:pt>
              </c:numCache>
            </c:numRef>
          </c:cat>
          <c:val>
            <c:numRef>
              <c:f>'Beer Tax'!$G$4:$G$95</c:f>
              <c:numCache>
                <c:formatCode>#,##0.00_);[Red]\(#,##0.00\)</c:formatCode>
                <c:ptCount val="92"/>
                <c:pt idx="0">
                  <c:v>1.2666370238624574</c:v>
                </c:pt>
                <c:pt idx="1">
                  <c:v>2.5493366500829189</c:v>
                </c:pt>
                <c:pt idx="2">
                  <c:v>1.4626260656377112</c:v>
                </c:pt>
                <c:pt idx="3">
                  <c:v>1.5499569983481905</c:v>
                </c:pt>
                <c:pt idx="4">
                  <c:v>1.5790719696969695</c:v>
                </c:pt>
                <c:pt idx="5">
                  <c:v>1.4719642647231694</c:v>
                </c:pt>
                <c:pt idx="6">
                  <c:v>1.5475177868754717</c:v>
                </c:pt>
                <c:pt idx="7">
                  <c:v>1.4286232071661575</c:v>
                </c:pt>
                <c:pt idx="8">
                  <c:v>1.5403780386927912</c:v>
                </c:pt>
                <c:pt idx="9">
                  <c:v>2.1346191850973519</c:v>
                </c:pt>
                <c:pt idx="10">
                  <c:v>1.7931539017341038</c:v>
                </c:pt>
                <c:pt idx="11">
                  <c:v>2.0770724025437102</c:v>
                </c:pt>
                <c:pt idx="12">
                  <c:v>2.898338331541523</c:v>
                </c:pt>
                <c:pt idx="13">
                  <c:v>2.4674704605739088</c:v>
                </c:pt>
                <c:pt idx="14">
                  <c:v>2.1563443043686719</c:v>
                </c:pt>
                <c:pt idx="15">
                  <c:v>1.7802545544661408</c:v>
                </c:pt>
                <c:pt idx="16">
                  <c:v>1.7405718996006272</c:v>
                </c:pt>
                <c:pt idx="17">
                  <c:v>1.7653070533456479</c:v>
                </c:pt>
                <c:pt idx="18">
                  <c:v>1.4661357619862081</c:v>
                </c:pt>
                <c:pt idx="19">
                  <c:v>1.1214375065151672</c:v>
                </c:pt>
                <c:pt idx="20">
                  <c:v>1.1085605177265396</c:v>
                </c:pt>
                <c:pt idx="21">
                  <c:v>1.1290515121269837</c:v>
                </c:pt>
                <c:pt idx="22">
                  <c:v>1.2328066489219716</c:v>
                </c:pt>
                <c:pt idx="23">
                  <c:v>1.0745721693721997</c:v>
                </c:pt>
                <c:pt idx="24">
                  <c:v>1.1002139193583884</c:v>
                </c:pt>
                <c:pt idx="25">
                  <c:v>0.98426776406395089</c:v>
                </c:pt>
                <c:pt idx="26">
                  <c:v>1.0000754520506168</c:v>
                </c:pt>
                <c:pt idx="27">
                  <c:v>0.98060810810810795</c:v>
                </c:pt>
                <c:pt idx="28">
                  <c:v>1.0190735500100048</c:v>
                </c:pt>
                <c:pt idx="29">
                  <c:v>0.98874586956822308</c:v>
                </c:pt>
                <c:pt idx="30">
                  <c:v>1.0377763014856867</c:v>
                </c:pt>
                <c:pt idx="31">
                  <c:v>1.0456725377663434</c:v>
                </c:pt>
                <c:pt idx="32">
                  <c:v>0.96812903432479613</c:v>
                </c:pt>
                <c:pt idx="33">
                  <c:v>1.080644569247146</c:v>
                </c:pt>
                <c:pt idx="34">
                  <c:v>1.0049684732595654</c:v>
                </c:pt>
                <c:pt idx="35">
                  <c:v>1.0172134535259096</c:v>
                </c:pt>
                <c:pt idx="36">
                  <c:v>1.0633105095914368</c:v>
                </c:pt>
                <c:pt idx="37">
                  <c:v>1.0461112937854202</c:v>
                </c:pt>
                <c:pt idx="38">
                  <c:v>2.7174777435262687</c:v>
                </c:pt>
                <c:pt idx="39">
                  <c:v>2.9799157716011786</c:v>
                </c:pt>
                <c:pt idx="40">
                  <c:v>2.9047763277199952</c:v>
                </c:pt>
                <c:pt idx="41">
                  <c:v>2.7621285913732563</c:v>
                </c:pt>
                <c:pt idx="42">
                  <c:v>2.5500505996792597</c:v>
                </c:pt>
                <c:pt idx="43">
                  <c:v>2.6313364758835172</c:v>
                </c:pt>
                <c:pt idx="44">
                  <c:v>2.4896594298663879</c:v>
                </c:pt>
                <c:pt idx="45">
                  <c:v>2.1519493007484551</c:v>
                </c:pt>
                <c:pt idx="46">
                  <c:v>2.1148841752419822</c:v>
                </c:pt>
                <c:pt idx="47">
                  <c:v>1.8336604708145063</c:v>
                </c:pt>
                <c:pt idx="48">
                  <c:v>2.1370323170930954</c:v>
                </c:pt>
                <c:pt idx="49">
                  <c:v>1.9616646823681216</c:v>
                </c:pt>
                <c:pt idx="50">
                  <c:v>4.4909581901272801</c:v>
                </c:pt>
                <c:pt idx="51">
                  <c:v>4.8241278190045671</c:v>
                </c:pt>
                <c:pt idx="52">
                  <c:v>4.4790278459704007</c:v>
                </c:pt>
                <c:pt idx="53">
                  <c:v>4.4127083232747086</c:v>
                </c:pt>
                <c:pt idx="54">
                  <c:v>3.9656826537292886</c:v>
                </c:pt>
                <c:pt idx="55">
                  <c:v>3.821803458262266</c:v>
                </c:pt>
                <c:pt idx="56">
                  <c:v>3.7468394282040616</c:v>
                </c:pt>
                <c:pt idx="57">
                  <c:v>3.4259625969976404</c:v>
                </c:pt>
                <c:pt idx="58">
                  <c:v>3.4964130575952144</c:v>
                </c:pt>
                <c:pt idx="59">
                  <c:v>3.3019019353468906</c:v>
                </c:pt>
                <c:pt idx="60">
                  <c:v>3.2139953657183873</c:v>
                </c:pt>
                <c:pt idx="61">
                  <c:v>3.1772711440619412</c:v>
                </c:pt>
                <c:pt idx="62">
                  <c:v>2.989617479274052</c:v>
                </c:pt>
                <c:pt idx="63">
                  <c:v>2.9514789898468003</c:v>
                </c:pt>
                <c:pt idx="64">
                  <c:v>2.8035939365217204</c:v>
                </c:pt>
                <c:pt idx="65">
                  <c:v>2.815280919187551</c:v>
                </c:pt>
                <c:pt idx="66">
                  <c:v>2.7433517905282057</c:v>
                </c:pt>
                <c:pt idx="67">
                  <c:v>2.6678423266192026</c:v>
                </c:pt>
                <c:pt idx="68">
                  <c:v>2.5809724474126901</c:v>
                </c:pt>
                <c:pt idx="69">
                  <c:v>2.4688319813179476</c:v>
                </c:pt>
                <c:pt idx="70">
                  <c:v>2.7244592812143793</c:v>
                </c:pt>
                <c:pt idx="71">
                  <c:v>2.6253240201845358</c:v>
                </c:pt>
                <c:pt idx="72">
                  <c:v>2.5464231030980424</c:v>
                </c:pt>
                <c:pt idx="73">
                  <c:v>2.4910049943368993</c:v>
                </c:pt>
                <c:pt idx="74">
                  <c:v>2.5715171165844617</c:v>
                </c:pt>
                <c:pt idx="75">
                  <c:v>2.4150532691204782</c:v>
                </c:pt>
                <c:pt idx="76">
                  <c:v>2.2776033815340813</c:v>
                </c:pt>
                <c:pt idx="77">
                  <c:v>2.128823293531561</c:v>
                </c:pt>
                <c:pt idx="78">
                  <c:v>2.1635772191134865</c:v>
                </c:pt>
                <c:pt idx="79">
                  <c:v>2.0568137648425964</c:v>
                </c:pt>
                <c:pt idx="80">
                  <c:v>2.0022267471122555</c:v>
                </c:pt>
                <c:pt idx="81">
                  <c:v>1.9480787894589746</c:v>
                </c:pt>
                <c:pt idx="82">
                  <c:v>1.976026609820994</c:v>
                </c:pt>
                <c:pt idx="83">
                  <c:v>2.0020687813868725</c:v>
                </c:pt>
                <c:pt idx="84">
                  <c:v>1.8315174404733328</c:v>
                </c:pt>
                <c:pt idx="85">
                  <c:v>1.780752561794432</c:v>
                </c:pt>
                <c:pt idx="86">
                  <c:v>1.9353859910411337</c:v>
                </c:pt>
                <c:pt idx="87">
                  <c:v>2.1031750630659198</c:v>
                </c:pt>
                <c:pt idx="88">
                  <c:v>2.0308965642065711</c:v>
                </c:pt>
                <c:pt idx="89">
                  <c:v>1.864545704494271</c:v>
                </c:pt>
                <c:pt idx="90">
                  <c:v>1.7684327586671744</c:v>
                </c:pt>
                <c:pt idx="91">
                  <c:v>1.6939116771578262</c:v>
                </c:pt>
              </c:numCache>
            </c:numRef>
          </c:val>
          <c:extLst>
            <c:ext xmlns:c16="http://schemas.microsoft.com/office/drawing/2014/chart" uri="{C3380CC4-5D6E-409C-BE32-E72D297353CC}">
              <c16:uniqueId val="{00000000-477D-427B-AF8F-314AAA788CED}"/>
            </c:ext>
          </c:extLst>
        </c:ser>
        <c:dLbls>
          <c:showLegendKey val="0"/>
          <c:showVal val="0"/>
          <c:showCatName val="0"/>
          <c:showSerName val="0"/>
          <c:showPercent val="0"/>
          <c:showBubbleSize val="0"/>
        </c:dLbls>
        <c:axId val="57555200"/>
        <c:axId val="57643392"/>
      </c:areaChart>
      <c:catAx>
        <c:axId val="57555200"/>
        <c:scaling>
          <c:orientation val="minMax"/>
        </c:scaling>
        <c:delete val="0"/>
        <c:axPos val="b"/>
        <c:title>
          <c:tx>
            <c:rich>
              <a:bodyPr/>
              <a:lstStyle/>
              <a:p>
                <a:pPr>
                  <a:defRPr sz="1200" b="1" i="0" u="none" strike="noStrike" baseline="0">
                    <a:solidFill>
                      <a:srgbClr val="000000"/>
                    </a:solidFill>
                    <a:latin typeface="Times New Roman"/>
                    <a:ea typeface="Times New Roman"/>
                    <a:cs typeface="Times New Roman"/>
                  </a:defRPr>
                </a:pPr>
                <a:r>
                  <a:rPr lang="en-US"/>
                  <a:t>Fiscal Year</a:t>
                </a:r>
              </a:p>
            </c:rich>
          </c:tx>
          <c:layout>
            <c:manualLayout>
              <c:xMode val="edge"/>
              <c:yMode val="edge"/>
              <c:x val="0.49160113201811928"/>
              <c:y val="0.91939942734431579"/>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Times New Roman"/>
                <a:ea typeface="Times New Roman"/>
                <a:cs typeface="Times New Roman"/>
              </a:defRPr>
            </a:pPr>
            <a:endParaRPr lang="en-US"/>
          </a:p>
        </c:txPr>
        <c:crossAx val="57643392"/>
        <c:crosses val="autoZero"/>
        <c:auto val="0"/>
        <c:lblAlgn val="ctr"/>
        <c:lblOffset val="100"/>
        <c:tickMarkSkip val="1"/>
        <c:noMultiLvlLbl val="0"/>
      </c:catAx>
      <c:valAx>
        <c:axId val="57643392"/>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Times New Roman"/>
                    <a:ea typeface="Times New Roman"/>
                    <a:cs typeface="Times New Roman"/>
                  </a:defRPr>
                </a:pPr>
                <a:r>
                  <a:rPr lang="en-US"/>
                  <a:t>Real Dollars</a:t>
                </a:r>
              </a:p>
            </c:rich>
          </c:tx>
          <c:layout>
            <c:manualLayout>
              <c:xMode val="edge"/>
              <c:yMode val="edge"/>
              <c:x val="2.2611413093645411E-2"/>
              <c:y val="0.32993211591123439"/>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en-US"/>
          </a:p>
        </c:txPr>
        <c:crossAx val="57555200"/>
        <c:crosses val="autoZero"/>
        <c:crossBetween val="midCat"/>
      </c:valAx>
      <c:spPr>
        <a:noFill/>
        <a:ln w="3175">
          <a:solidFill>
            <a:srgbClr val="00000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&amp;L&amp;"Times New Roman,Regular"&amp;8Real numbers are based on using the CPI and population of the previous year.
The CPI base period for real numbers: 1982 to 1984 = 100.&amp;R&amp;"Times New Roman,Regular"&amp;8Economic and Statistical Unit
Utah State Tax Commission</c:oddFooter>
    </c:headerFooter>
    <c:pageMargins b="1" l="0.75000000000000655" r="0.75000000000000655" t="1" header="0.5" footer="0.5"/>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b="1" i="0" u="none" strike="noStrike" baseline="0">
                <a:solidFill>
                  <a:srgbClr val="000000"/>
                </a:solidFill>
                <a:latin typeface="Times New Roman"/>
                <a:ea typeface="Times New Roman"/>
                <a:cs typeface="Times New Roman"/>
              </a:defRPr>
            </a:pPr>
            <a:r>
              <a:rPr lang="en-US"/>
              <a:t>Insurance Premium Tax: Real Per Capita</a:t>
            </a:r>
          </a:p>
        </c:rich>
      </c:tx>
      <c:layout>
        <c:manualLayout>
          <c:xMode val="edge"/>
          <c:yMode val="edge"/>
          <c:x val="0.23027112364318839"/>
          <c:y val="3.0092604112973466E-2"/>
        </c:manualLayout>
      </c:layout>
      <c:overlay val="0"/>
      <c:spPr>
        <a:noFill/>
        <a:ln w="25400">
          <a:noFill/>
        </a:ln>
      </c:spPr>
    </c:title>
    <c:autoTitleDeleted val="0"/>
    <c:plotArea>
      <c:layout>
        <c:manualLayout>
          <c:layoutTarget val="inner"/>
          <c:xMode val="edge"/>
          <c:yMode val="edge"/>
          <c:x val="0.12467386406268677"/>
          <c:y val="0.13838096284010609"/>
          <c:w val="0.81204875130433873"/>
          <c:h val="0.69318853202040565"/>
        </c:manualLayout>
      </c:layout>
      <c:areaChart>
        <c:grouping val="stacked"/>
        <c:varyColors val="0"/>
        <c:ser>
          <c:idx val="0"/>
          <c:order val="0"/>
          <c:tx>
            <c:strRef>
              <c:f>'Insurance Premium Tax'!$K$3:$K$4</c:f>
              <c:strCache>
                <c:ptCount val="2"/>
                <c:pt idx="0">
                  <c:v>Real Per Capita</c:v>
                </c:pt>
              </c:strCache>
            </c:strRef>
          </c:tx>
          <c:spPr>
            <a:ln>
              <a:solidFill>
                <a:srgbClr val="000000"/>
              </a:solidFill>
            </a:ln>
          </c:spPr>
          <c:cat>
            <c:numRef>
              <c:f>'Insurance Premium Tax'!$A$5:$A$97</c:f>
              <c:numCache>
                <c:formatCode>General</c:formatCode>
                <c:ptCount val="93"/>
                <c:pt idx="0">
                  <c:v>1933</c:v>
                </c:pt>
                <c:pt idx="1">
                  <c:v>1934</c:v>
                </c:pt>
                <c:pt idx="2">
                  <c:v>1935</c:v>
                </c:pt>
                <c:pt idx="3">
                  <c:v>1936</c:v>
                </c:pt>
                <c:pt idx="4">
                  <c:v>1937</c:v>
                </c:pt>
                <c:pt idx="5">
                  <c:v>1938</c:v>
                </c:pt>
                <c:pt idx="6">
                  <c:v>1939</c:v>
                </c:pt>
                <c:pt idx="7">
                  <c:v>1940</c:v>
                </c:pt>
                <c:pt idx="8">
                  <c:v>1941</c:v>
                </c:pt>
                <c:pt idx="9">
                  <c:v>1942</c:v>
                </c:pt>
                <c:pt idx="10">
                  <c:v>1943</c:v>
                </c:pt>
                <c:pt idx="11">
                  <c:v>1944</c:v>
                </c:pt>
                <c:pt idx="12">
                  <c:v>1945</c:v>
                </c:pt>
                <c:pt idx="13">
                  <c:v>1946</c:v>
                </c:pt>
                <c:pt idx="14">
                  <c:v>1947</c:v>
                </c:pt>
                <c:pt idx="15">
                  <c:v>1948</c:v>
                </c:pt>
                <c:pt idx="16">
                  <c:v>1949</c:v>
                </c:pt>
                <c:pt idx="17">
                  <c:v>1950</c:v>
                </c:pt>
                <c:pt idx="18">
                  <c:v>1951</c:v>
                </c:pt>
                <c:pt idx="19">
                  <c:v>1952</c:v>
                </c:pt>
                <c:pt idx="20">
                  <c:v>1953</c:v>
                </c:pt>
                <c:pt idx="21">
                  <c:v>1954</c:v>
                </c:pt>
                <c:pt idx="22">
                  <c:v>1955</c:v>
                </c:pt>
                <c:pt idx="23">
                  <c:v>1956</c:v>
                </c:pt>
                <c:pt idx="24">
                  <c:v>1957</c:v>
                </c:pt>
                <c:pt idx="25">
                  <c:v>1958</c:v>
                </c:pt>
                <c:pt idx="26">
                  <c:v>1959</c:v>
                </c:pt>
                <c:pt idx="27">
                  <c:v>1960</c:v>
                </c:pt>
                <c:pt idx="28">
                  <c:v>1961</c:v>
                </c:pt>
                <c:pt idx="29">
                  <c:v>1962</c:v>
                </c:pt>
                <c:pt idx="30">
                  <c:v>1963</c:v>
                </c:pt>
                <c:pt idx="31">
                  <c:v>1964</c:v>
                </c:pt>
                <c:pt idx="32">
                  <c:v>1965</c:v>
                </c:pt>
                <c:pt idx="33">
                  <c:v>1966</c:v>
                </c:pt>
                <c:pt idx="34">
                  <c:v>1967</c:v>
                </c:pt>
                <c:pt idx="35">
                  <c:v>1968</c:v>
                </c:pt>
                <c:pt idx="36">
                  <c:v>1969</c:v>
                </c:pt>
                <c:pt idx="37">
                  <c:v>1970</c:v>
                </c:pt>
                <c:pt idx="38">
                  <c:v>1971</c:v>
                </c:pt>
                <c:pt idx="39">
                  <c:v>1972</c:v>
                </c:pt>
                <c:pt idx="40">
                  <c:v>1973</c:v>
                </c:pt>
                <c:pt idx="41">
                  <c:v>1974</c:v>
                </c:pt>
                <c:pt idx="42">
                  <c:v>1975</c:v>
                </c:pt>
                <c:pt idx="43">
                  <c:v>1976</c:v>
                </c:pt>
                <c:pt idx="44">
                  <c:v>1977</c:v>
                </c:pt>
                <c:pt idx="45">
                  <c:v>1978</c:v>
                </c:pt>
                <c:pt idx="46">
                  <c:v>1979</c:v>
                </c:pt>
                <c:pt idx="47">
                  <c:v>1980</c:v>
                </c:pt>
                <c:pt idx="48">
                  <c:v>1981</c:v>
                </c:pt>
                <c:pt idx="49">
                  <c:v>1982</c:v>
                </c:pt>
                <c:pt idx="50">
                  <c:v>1983</c:v>
                </c:pt>
                <c:pt idx="51">
                  <c:v>1984</c:v>
                </c:pt>
                <c:pt idx="52">
                  <c:v>1985</c:v>
                </c:pt>
                <c:pt idx="53">
                  <c:v>1986</c:v>
                </c:pt>
                <c:pt idx="54">
                  <c:v>1987</c:v>
                </c:pt>
                <c:pt idx="55">
                  <c:v>1988</c:v>
                </c:pt>
                <c:pt idx="56">
                  <c:v>1989</c:v>
                </c:pt>
                <c:pt idx="57">
                  <c:v>1990</c:v>
                </c:pt>
                <c:pt idx="58">
                  <c:v>1991</c:v>
                </c:pt>
                <c:pt idx="59">
                  <c:v>1992</c:v>
                </c:pt>
                <c:pt idx="60">
                  <c:v>1993</c:v>
                </c:pt>
                <c:pt idx="61">
                  <c:v>1994</c:v>
                </c:pt>
                <c:pt idx="62">
                  <c:v>1995</c:v>
                </c:pt>
                <c:pt idx="63">
                  <c:v>1996</c:v>
                </c:pt>
                <c:pt idx="64">
                  <c:v>1997</c:v>
                </c:pt>
                <c:pt idx="65">
                  <c:v>1998</c:v>
                </c:pt>
                <c:pt idx="66">
                  <c:v>1999</c:v>
                </c:pt>
                <c:pt idx="67">
                  <c:v>2000</c:v>
                </c:pt>
                <c:pt idx="68">
                  <c:v>2001</c:v>
                </c:pt>
                <c:pt idx="69">
                  <c:v>2002</c:v>
                </c:pt>
                <c:pt idx="70">
                  <c:v>2003</c:v>
                </c:pt>
                <c:pt idx="71">
                  <c:v>2004</c:v>
                </c:pt>
                <c:pt idx="72">
                  <c:v>2005</c:v>
                </c:pt>
                <c:pt idx="73">
                  <c:v>2006</c:v>
                </c:pt>
                <c:pt idx="74">
                  <c:v>2007</c:v>
                </c:pt>
                <c:pt idx="75">
                  <c:v>2008</c:v>
                </c:pt>
                <c:pt idx="76">
                  <c:v>2009</c:v>
                </c:pt>
                <c:pt idx="77">
                  <c:v>2010</c:v>
                </c:pt>
                <c:pt idx="78">
                  <c:v>2011</c:v>
                </c:pt>
                <c:pt idx="79">
                  <c:v>2012</c:v>
                </c:pt>
                <c:pt idx="80">
                  <c:v>2013</c:v>
                </c:pt>
                <c:pt idx="81">
                  <c:v>2014</c:v>
                </c:pt>
                <c:pt idx="82">
                  <c:v>2015</c:v>
                </c:pt>
                <c:pt idx="83">
                  <c:v>2016</c:v>
                </c:pt>
                <c:pt idx="84">
                  <c:v>2017</c:v>
                </c:pt>
                <c:pt idx="85">
                  <c:v>2018</c:v>
                </c:pt>
                <c:pt idx="86">
                  <c:v>2019</c:v>
                </c:pt>
                <c:pt idx="87">
                  <c:v>2020</c:v>
                </c:pt>
                <c:pt idx="88">
                  <c:v>2021</c:v>
                </c:pt>
                <c:pt idx="89">
                  <c:v>2022</c:v>
                </c:pt>
                <c:pt idx="90">
                  <c:v>2023</c:v>
                </c:pt>
                <c:pt idx="91">
                  <c:v>2024</c:v>
                </c:pt>
                <c:pt idx="92">
                  <c:v>2025</c:v>
                </c:pt>
              </c:numCache>
            </c:numRef>
          </c:cat>
          <c:val>
            <c:numRef>
              <c:f>'Insurance Premium Tax'!$K$5:$K$97</c:f>
              <c:numCache>
                <c:formatCode>0.00</c:formatCode>
                <c:ptCount val="93"/>
                <c:pt idx="0">
                  <c:v>2.4963220182836086</c:v>
                </c:pt>
                <c:pt idx="1">
                  <c:v>2.5456795612864975</c:v>
                </c:pt>
                <c:pt idx="2">
                  <c:v>2.7194630296791904</c:v>
                </c:pt>
                <c:pt idx="3">
                  <c:v>4.1523792277260831</c:v>
                </c:pt>
                <c:pt idx="4">
                  <c:v>4.1538094002975976</c:v>
                </c:pt>
                <c:pt idx="5">
                  <c:v>4.6035616582491574</c:v>
                </c:pt>
                <c:pt idx="6">
                  <c:v>5.4062797957237834</c:v>
                </c:pt>
                <c:pt idx="7">
                  <c:v>4.7591981663288152</c:v>
                </c:pt>
                <c:pt idx="8">
                  <c:v>4.9341467923160565</c:v>
                </c:pt>
                <c:pt idx="9">
                  <c:v>5.0905346494314614</c:v>
                </c:pt>
                <c:pt idx="10">
                  <c:v>5.6956337749823858</c:v>
                </c:pt>
                <c:pt idx="11">
                  <c:v>5.3415823699421958</c:v>
                </c:pt>
                <c:pt idx="12">
                  <c:v>5.4144106393854194</c:v>
                </c:pt>
                <c:pt idx="13">
                  <c:v>6.2153661894792434</c:v>
                </c:pt>
                <c:pt idx="14">
                  <c:v>5.6247480749135921</c:v>
                </c:pt>
                <c:pt idx="15">
                  <c:v>6.3188227994472177</c:v>
                </c:pt>
                <c:pt idx="16">
                  <c:v>5.6337186429692512</c:v>
                </c:pt>
                <c:pt idx="17">
                  <c:v>6.161844881065127</c:v>
                </c:pt>
                <c:pt idx="18">
                  <c:v>6.5720040736524945</c:v>
                </c:pt>
                <c:pt idx="19">
                  <c:v>7.1428703713790807</c:v>
                </c:pt>
                <c:pt idx="20">
                  <c:v>7.8460439904096733</c:v>
                </c:pt>
                <c:pt idx="21">
                  <c:v>8.3465972635004508</c:v>
                </c:pt>
                <c:pt idx="22">
                  <c:v>7.5954883609192398</c:v>
                </c:pt>
                <c:pt idx="23">
                  <c:v>7.9984546480677849</c:v>
                </c:pt>
                <c:pt idx="24">
                  <c:v>8.4764691791033915</c:v>
                </c:pt>
                <c:pt idx="25">
                  <c:v>8.6030122705384322</c:v>
                </c:pt>
                <c:pt idx="26">
                  <c:v>8.7743454590711316</c:v>
                </c:pt>
                <c:pt idx="27">
                  <c:v>9.3087170030603499</c:v>
                </c:pt>
                <c:pt idx="28">
                  <c:v>9.2893512387387371</c:v>
                </c:pt>
                <c:pt idx="29">
                  <c:v>9.479285438641627</c:v>
                </c:pt>
                <c:pt idx="30">
                  <c:v>9.8875796015429511</c:v>
                </c:pt>
                <c:pt idx="31">
                  <c:v>10.311947229268162</c:v>
                </c:pt>
                <c:pt idx="32">
                  <c:v>11.323124414539217</c:v>
                </c:pt>
                <c:pt idx="33">
                  <c:v>11.347992247689524</c:v>
                </c:pt>
                <c:pt idx="34">
                  <c:v>11.723739431535929</c:v>
                </c:pt>
                <c:pt idx="35">
                  <c:v>11.832955962461732</c:v>
                </c:pt>
                <c:pt idx="36">
                  <c:v>12.154694882879262</c:v>
                </c:pt>
                <c:pt idx="37">
                  <c:v>12.583421167003687</c:v>
                </c:pt>
                <c:pt idx="38">
                  <c:v>13.413874973404772</c:v>
                </c:pt>
                <c:pt idx="39">
                  <c:v>14.350124420989728</c:v>
                </c:pt>
                <c:pt idx="40">
                  <c:v>15.20268549152974</c:v>
                </c:pt>
                <c:pt idx="41">
                  <c:v>15.435011959219581</c:v>
                </c:pt>
                <c:pt idx="42">
                  <c:v>13.808175597086814</c:v>
                </c:pt>
                <c:pt idx="43">
                  <c:v>14.630554553805434</c:v>
                </c:pt>
                <c:pt idx="44">
                  <c:v>16.32203645099392</c:v>
                </c:pt>
                <c:pt idx="45">
                  <c:v>17.66060120203289</c:v>
                </c:pt>
                <c:pt idx="46">
                  <c:v>18.084395269719341</c:v>
                </c:pt>
                <c:pt idx="47">
                  <c:v>17.359505036918534</c:v>
                </c:pt>
                <c:pt idx="48">
                  <c:v>15.630601954920893</c:v>
                </c:pt>
                <c:pt idx="49">
                  <c:v>14.55515985723985</c:v>
                </c:pt>
                <c:pt idx="50">
                  <c:v>15.06824994845258</c:v>
                </c:pt>
                <c:pt idx="51">
                  <c:v>15.265498571086855</c:v>
                </c:pt>
                <c:pt idx="52">
                  <c:v>15.52984175123334</c:v>
                </c:pt>
                <c:pt idx="53">
                  <c:v>16.811897754809749</c:v>
                </c:pt>
                <c:pt idx="54">
                  <c:v>18.804688014361524</c:v>
                </c:pt>
                <c:pt idx="55">
                  <c:v>18.985674700767181</c:v>
                </c:pt>
                <c:pt idx="56">
                  <c:v>19.292451744886883</c:v>
                </c:pt>
                <c:pt idx="57">
                  <c:v>19.424499394924933</c:v>
                </c:pt>
                <c:pt idx="58">
                  <c:v>19.429857547314587</c:v>
                </c:pt>
                <c:pt idx="59">
                  <c:v>20.091398100420275</c:v>
                </c:pt>
                <c:pt idx="60">
                  <c:v>21.612373453654275</c:v>
                </c:pt>
                <c:pt idx="61">
                  <c:v>22.452171925368749</c:v>
                </c:pt>
                <c:pt idx="62">
                  <c:v>24.355664492119047</c:v>
                </c:pt>
                <c:pt idx="63">
                  <c:v>21.716967603336734</c:v>
                </c:pt>
                <c:pt idx="64">
                  <c:v>21.692431021875205</c:v>
                </c:pt>
                <c:pt idx="65">
                  <c:v>24.368300131414081</c:v>
                </c:pt>
                <c:pt idx="66">
                  <c:v>22.079236098646817</c:v>
                </c:pt>
                <c:pt idx="67">
                  <c:v>24.260857180017595</c:v>
                </c:pt>
                <c:pt idx="68">
                  <c:v>21.561298415107942</c:v>
                </c:pt>
                <c:pt idx="69">
                  <c:v>24.092517407864012</c:v>
                </c:pt>
                <c:pt idx="70">
                  <c:v>26.226327200621814</c:v>
                </c:pt>
                <c:pt idx="71">
                  <c:v>26.870551204058515</c:v>
                </c:pt>
                <c:pt idx="72">
                  <c:v>28.777631474635307</c:v>
                </c:pt>
                <c:pt idx="73">
                  <c:v>26.988494067701833</c:v>
                </c:pt>
                <c:pt idx="74">
                  <c:v>26.217106828522656</c:v>
                </c:pt>
                <c:pt idx="75">
                  <c:v>26.724677463776679</c:v>
                </c:pt>
                <c:pt idx="76">
                  <c:v>25.529415946748561</c:v>
                </c:pt>
                <c:pt idx="77">
                  <c:v>20.756170520744014</c:v>
                </c:pt>
                <c:pt idx="78">
                  <c:v>18.519774652780271</c:v>
                </c:pt>
                <c:pt idx="79">
                  <c:v>19.064665738225813</c:v>
                </c:pt>
                <c:pt idx="80">
                  <c:v>19.033758976373534</c:v>
                </c:pt>
                <c:pt idx="81">
                  <c:v>19.312289946780165</c:v>
                </c:pt>
                <c:pt idx="82">
                  <c:v>19.967790483295875</c:v>
                </c:pt>
                <c:pt idx="83">
                  <c:v>21.011077894253798</c:v>
                </c:pt>
                <c:pt idx="84">
                  <c:v>20.854381525237169</c:v>
                </c:pt>
                <c:pt idx="85">
                  <c:v>21.110642829712827</c:v>
                </c:pt>
                <c:pt idx="86">
                  <c:v>21.564394301743437</c:v>
                </c:pt>
                <c:pt idx="87">
                  <c:v>20.559592538031815</c:v>
                </c:pt>
                <c:pt idx="88">
                  <c:v>21.59127331953416</c:v>
                </c:pt>
                <c:pt idx="89">
                  <c:v>22.355393212652768</c:v>
                </c:pt>
                <c:pt idx="90">
                  <c:v>21.831560558366171</c:v>
                </c:pt>
                <c:pt idx="91">
                  <c:v>22.571427134588429</c:v>
                </c:pt>
                <c:pt idx="92">
                  <c:v>24.054153192622877</c:v>
                </c:pt>
              </c:numCache>
            </c:numRef>
          </c:val>
          <c:extLst>
            <c:ext xmlns:c16="http://schemas.microsoft.com/office/drawing/2014/chart" uri="{C3380CC4-5D6E-409C-BE32-E72D297353CC}">
              <c16:uniqueId val="{00000000-0763-44C3-8C61-6AC6DBDF1BCE}"/>
            </c:ext>
          </c:extLst>
        </c:ser>
        <c:dLbls>
          <c:showLegendKey val="0"/>
          <c:showVal val="0"/>
          <c:showCatName val="0"/>
          <c:showSerName val="0"/>
          <c:showPercent val="0"/>
          <c:showBubbleSize val="0"/>
        </c:dLbls>
        <c:axId val="57808000"/>
        <c:axId val="57809920"/>
      </c:areaChart>
      <c:catAx>
        <c:axId val="57808000"/>
        <c:scaling>
          <c:orientation val="minMax"/>
        </c:scaling>
        <c:delete val="0"/>
        <c:axPos val="b"/>
        <c:title>
          <c:tx>
            <c:rich>
              <a:bodyPr/>
              <a:lstStyle/>
              <a:p>
                <a:pPr>
                  <a:defRPr sz="1200" b="1" i="0" u="none" strike="noStrike" baseline="0">
                    <a:solidFill>
                      <a:srgbClr val="000000"/>
                    </a:solidFill>
                    <a:latin typeface="Times New Roman"/>
                    <a:ea typeface="Times New Roman"/>
                    <a:cs typeface="Times New Roman"/>
                  </a:defRPr>
                </a:pPr>
                <a:r>
                  <a:rPr lang="en-US"/>
                  <a:t>Fiscal Year</a:t>
                </a:r>
              </a:p>
            </c:rich>
          </c:tx>
          <c:layout>
            <c:manualLayout>
              <c:xMode val="edge"/>
              <c:yMode val="edge"/>
              <c:x val="0.48326780130121388"/>
              <c:y val="0.92842881095844965"/>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Times New Roman"/>
                <a:ea typeface="Times New Roman"/>
                <a:cs typeface="Times New Roman"/>
              </a:defRPr>
            </a:pPr>
            <a:endParaRPr lang="en-US"/>
          </a:p>
        </c:txPr>
        <c:crossAx val="57809920"/>
        <c:crosses val="autoZero"/>
        <c:auto val="0"/>
        <c:lblAlgn val="ctr"/>
        <c:lblOffset val="100"/>
        <c:tickLblSkip val="5"/>
        <c:tickMarkSkip val="1"/>
        <c:noMultiLvlLbl val="0"/>
      </c:catAx>
      <c:valAx>
        <c:axId val="57809920"/>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Times New Roman"/>
                    <a:ea typeface="Times New Roman"/>
                    <a:cs typeface="Times New Roman"/>
                  </a:defRPr>
                </a:pPr>
                <a:r>
                  <a:rPr lang="en-US"/>
                  <a:t>Real Dollars Per Capita</a:t>
                </a:r>
              </a:p>
            </c:rich>
          </c:tx>
          <c:layout>
            <c:manualLayout>
              <c:xMode val="edge"/>
              <c:yMode val="edge"/>
              <c:x val="2.4652390969096001E-2"/>
              <c:y val="0.27913711688973414"/>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en-US"/>
          </a:p>
        </c:txPr>
        <c:crossAx val="57808000"/>
        <c:crosses val="autoZero"/>
        <c:crossBetween val="midCat"/>
      </c:valAx>
      <c:spPr>
        <a:noFill/>
        <a:ln w="3175">
          <a:solidFill>
            <a:srgbClr val="00000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&amp;L&amp;"Times New Roman,Regular"&amp;8Real numbers are based on using the CPI and population of the previous year.
The CPI base period for real numbers: 1982 to 1984 = 100.&amp;R&amp;"Times New Roman,Regular"&amp;8Economic and Statistical Unit
Utah State Tax Commission</c:oddFooter>
    </c:headerFooter>
    <c:pageMargins b="1" l="0.75000000000000655" r="0.75000000000000655" t="1" header="0.5" footer="0.5"/>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nchor="b" anchorCtr="0"/>
          <a:lstStyle/>
          <a:p>
            <a:pPr>
              <a:defRPr sz="1400" b="1" i="0" u="none" strike="noStrike" baseline="0">
                <a:solidFill>
                  <a:srgbClr val="000000"/>
                </a:solidFill>
                <a:latin typeface="Times New Roman"/>
                <a:ea typeface="Times New Roman"/>
                <a:cs typeface="Times New Roman"/>
              </a:defRPr>
            </a:pPr>
            <a:r>
              <a:rPr lang="en-US"/>
              <a:t>Insurance Premium Tax Collections</a:t>
            </a:r>
          </a:p>
        </c:rich>
      </c:tx>
      <c:layout>
        <c:manualLayout>
          <c:xMode val="edge"/>
          <c:yMode val="edge"/>
          <c:x val="0.27879281496062991"/>
          <c:y val="3.4310518877448008E-2"/>
        </c:manualLayout>
      </c:layout>
      <c:overlay val="0"/>
      <c:spPr>
        <a:noFill/>
        <a:ln w="25400">
          <a:noFill/>
        </a:ln>
      </c:spPr>
    </c:title>
    <c:autoTitleDeleted val="0"/>
    <c:plotArea>
      <c:layout>
        <c:manualLayout>
          <c:layoutTarget val="inner"/>
          <c:xMode val="edge"/>
          <c:yMode val="edge"/>
          <c:x val="0.18866146358990682"/>
          <c:y val="0.13438007805788066"/>
          <c:w val="0.75705792526831661"/>
          <c:h val="0.6752705837492422"/>
        </c:manualLayout>
      </c:layout>
      <c:areaChart>
        <c:grouping val="standard"/>
        <c:varyColors val="0"/>
        <c:ser>
          <c:idx val="0"/>
          <c:order val="0"/>
          <c:tx>
            <c:strRef>
              <c:f>'Insurance Premium Tax'!$I$3:$I$4</c:f>
              <c:strCache>
                <c:ptCount val="2"/>
                <c:pt idx="0">
                  <c:v>Total Insurance Premium Tax Collections (admitted insurer's &amp; self-insurer's tax)</c:v>
                </c:pt>
              </c:strCache>
            </c:strRef>
          </c:tx>
          <c:spPr>
            <a:solidFill>
              <a:srgbClr val="969696"/>
            </a:solidFill>
            <a:ln w="12700">
              <a:solidFill>
                <a:srgbClr val="000000"/>
              </a:solidFill>
              <a:prstDash val="solid"/>
            </a:ln>
          </c:spPr>
          <c:cat>
            <c:numRef>
              <c:f>'Insurance Premium Tax'!$A$5:$A$97</c:f>
              <c:numCache>
                <c:formatCode>General</c:formatCode>
                <c:ptCount val="93"/>
                <c:pt idx="0">
                  <c:v>1933</c:v>
                </c:pt>
                <c:pt idx="1">
                  <c:v>1934</c:v>
                </c:pt>
                <c:pt idx="2">
                  <c:v>1935</c:v>
                </c:pt>
                <c:pt idx="3">
                  <c:v>1936</c:v>
                </c:pt>
                <c:pt idx="4">
                  <c:v>1937</c:v>
                </c:pt>
                <c:pt idx="5">
                  <c:v>1938</c:v>
                </c:pt>
                <c:pt idx="6">
                  <c:v>1939</c:v>
                </c:pt>
                <c:pt idx="7">
                  <c:v>1940</c:v>
                </c:pt>
                <c:pt idx="8">
                  <c:v>1941</c:v>
                </c:pt>
                <c:pt idx="9">
                  <c:v>1942</c:v>
                </c:pt>
                <c:pt idx="10">
                  <c:v>1943</c:v>
                </c:pt>
                <c:pt idx="11">
                  <c:v>1944</c:v>
                </c:pt>
                <c:pt idx="12">
                  <c:v>1945</c:v>
                </c:pt>
                <c:pt idx="13">
                  <c:v>1946</c:v>
                </c:pt>
                <c:pt idx="14">
                  <c:v>1947</c:v>
                </c:pt>
                <c:pt idx="15">
                  <c:v>1948</c:v>
                </c:pt>
                <c:pt idx="16">
                  <c:v>1949</c:v>
                </c:pt>
                <c:pt idx="17">
                  <c:v>1950</c:v>
                </c:pt>
                <c:pt idx="18">
                  <c:v>1951</c:v>
                </c:pt>
                <c:pt idx="19">
                  <c:v>1952</c:v>
                </c:pt>
                <c:pt idx="20">
                  <c:v>1953</c:v>
                </c:pt>
                <c:pt idx="21">
                  <c:v>1954</c:v>
                </c:pt>
                <c:pt idx="22">
                  <c:v>1955</c:v>
                </c:pt>
                <c:pt idx="23">
                  <c:v>1956</c:v>
                </c:pt>
                <c:pt idx="24">
                  <c:v>1957</c:v>
                </c:pt>
                <c:pt idx="25">
                  <c:v>1958</c:v>
                </c:pt>
                <c:pt idx="26">
                  <c:v>1959</c:v>
                </c:pt>
                <c:pt idx="27">
                  <c:v>1960</c:v>
                </c:pt>
                <c:pt idx="28">
                  <c:v>1961</c:v>
                </c:pt>
                <c:pt idx="29">
                  <c:v>1962</c:v>
                </c:pt>
                <c:pt idx="30">
                  <c:v>1963</c:v>
                </c:pt>
                <c:pt idx="31">
                  <c:v>1964</c:v>
                </c:pt>
                <c:pt idx="32">
                  <c:v>1965</c:v>
                </c:pt>
                <c:pt idx="33">
                  <c:v>1966</c:v>
                </c:pt>
                <c:pt idx="34">
                  <c:v>1967</c:v>
                </c:pt>
                <c:pt idx="35">
                  <c:v>1968</c:v>
                </c:pt>
                <c:pt idx="36">
                  <c:v>1969</c:v>
                </c:pt>
                <c:pt idx="37">
                  <c:v>1970</c:v>
                </c:pt>
                <c:pt idx="38">
                  <c:v>1971</c:v>
                </c:pt>
                <c:pt idx="39">
                  <c:v>1972</c:v>
                </c:pt>
                <c:pt idx="40">
                  <c:v>1973</c:v>
                </c:pt>
                <c:pt idx="41">
                  <c:v>1974</c:v>
                </c:pt>
                <c:pt idx="42">
                  <c:v>1975</c:v>
                </c:pt>
                <c:pt idx="43">
                  <c:v>1976</c:v>
                </c:pt>
                <c:pt idx="44">
                  <c:v>1977</c:v>
                </c:pt>
                <c:pt idx="45">
                  <c:v>1978</c:v>
                </c:pt>
                <c:pt idx="46">
                  <c:v>1979</c:v>
                </c:pt>
                <c:pt idx="47">
                  <c:v>1980</c:v>
                </c:pt>
                <c:pt idx="48">
                  <c:v>1981</c:v>
                </c:pt>
                <c:pt idx="49">
                  <c:v>1982</c:v>
                </c:pt>
                <c:pt idx="50">
                  <c:v>1983</c:v>
                </c:pt>
                <c:pt idx="51">
                  <c:v>1984</c:v>
                </c:pt>
                <c:pt idx="52">
                  <c:v>1985</c:v>
                </c:pt>
                <c:pt idx="53">
                  <c:v>1986</c:v>
                </c:pt>
                <c:pt idx="54">
                  <c:v>1987</c:v>
                </c:pt>
                <c:pt idx="55">
                  <c:v>1988</c:v>
                </c:pt>
                <c:pt idx="56">
                  <c:v>1989</c:v>
                </c:pt>
                <c:pt idx="57">
                  <c:v>1990</c:v>
                </c:pt>
                <c:pt idx="58">
                  <c:v>1991</c:v>
                </c:pt>
                <c:pt idx="59">
                  <c:v>1992</c:v>
                </c:pt>
                <c:pt idx="60">
                  <c:v>1993</c:v>
                </c:pt>
                <c:pt idx="61">
                  <c:v>1994</c:v>
                </c:pt>
                <c:pt idx="62">
                  <c:v>1995</c:v>
                </c:pt>
                <c:pt idx="63">
                  <c:v>1996</c:v>
                </c:pt>
                <c:pt idx="64">
                  <c:v>1997</c:v>
                </c:pt>
                <c:pt idx="65">
                  <c:v>1998</c:v>
                </c:pt>
                <c:pt idx="66">
                  <c:v>1999</c:v>
                </c:pt>
                <c:pt idx="67">
                  <c:v>2000</c:v>
                </c:pt>
                <c:pt idx="68">
                  <c:v>2001</c:v>
                </c:pt>
                <c:pt idx="69">
                  <c:v>2002</c:v>
                </c:pt>
                <c:pt idx="70">
                  <c:v>2003</c:v>
                </c:pt>
                <c:pt idx="71">
                  <c:v>2004</c:v>
                </c:pt>
                <c:pt idx="72">
                  <c:v>2005</c:v>
                </c:pt>
                <c:pt idx="73">
                  <c:v>2006</c:v>
                </c:pt>
                <c:pt idx="74">
                  <c:v>2007</c:v>
                </c:pt>
                <c:pt idx="75">
                  <c:v>2008</c:v>
                </c:pt>
                <c:pt idx="76">
                  <c:v>2009</c:v>
                </c:pt>
                <c:pt idx="77">
                  <c:v>2010</c:v>
                </c:pt>
                <c:pt idx="78">
                  <c:v>2011</c:v>
                </c:pt>
                <c:pt idx="79">
                  <c:v>2012</c:v>
                </c:pt>
                <c:pt idx="80">
                  <c:v>2013</c:v>
                </c:pt>
                <c:pt idx="81">
                  <c:v>2014</c:v>
                </c:pt>
                <c:pt idx="82">
                  <c:v>2015</c:v>
                </c:pt>
                <c:pt idx="83">
                  <c:v>2016</c:v>
                </c:pt>
                <c:pt idx="84">
                  <c:v>2017</c:v>
                </c:pt>
                <c:pt idx="85">
                  <c:v>2018</c:v>
                </c:pt>
                <c:pt idx="86">
                  <c:v>2019</c:v>
                </c:pt>
                <c:pt idx="87">
                  <c:v>2020</c:v>
                </c:pt>
                <c:pt idx="88">
                  <c:v>2021</c:v>
                </c:pt>
                <c:pt idx="89">
                  <c:v>2022</c:v>
                </c:pt>
                <c:pt idx="90">
                  <c:v>2023</c:v>
                </c:pt>
                <c:pt idx="91">
                  <c:v>2024</c:v>
                </c:pt>
                <c:pt idx="92">
                  <c:v>2025</c:v>
                </c:pt>
              </c:numCache>
            </c:numRef>
          </c:cat>
          <c:val>
            <c:numRef>
              <c:f>'Insurance Premium Tax'!$I$5:$I$97</c:f>
              <c:numCache>
                <c:formatCode>#,##0_);[Red]\(#,##0\)</c:formatCode>
                <c:ptCount val="93"/>
                <c:pt idx="0">
                  <c:v>176128</c:v>
                </c:pt>
                <c:pt idx="1">
                  <c:v>171757</c:v>
                </c:pt>
                <c:pt idx="2">
                  <c:v>190221</c:v>
                </c:pt>
                <c:pt idx="3">
                  <c:v>298091</c:v>
                </c:pt>
                <c:pt idx="4">
                  <c:v>304279</c:v>
                </c:pt>
                <c:pt idx="5">
                  <c:v>350018</c:v>
                </c:pt>
                <c:pt idx="6">
                  <c:v>413921</c:v>
                </c:pt>
                <c:pt idx="7">
                  <c:v>359210</c:v>
                </c:pt>
                <c:pt idx="8">
                  <c:v>381172.70799999998</c:v>
                </c:pt>
                <c:pt idx="9">
                  <c:v>412318.03500000003</c:v>
                </c:pt>
                <c:pt idx="10">
                  <c:v>530295.4</c:v>
                </c:pt>
                <c:pt idx="11">
                  <c:v>591420</c:v>
                </c:pt>
                <c:pt idx="12">
                  <c:v>576240.56400000001</c:v>
                </c:pt>
                <c:pt idx="13">
                  <c:v>659065</c:v>
                </c:pt>
                <c:pt idx="14">
                  <c:v>699774.90800000005</c:v>
                </c:pt>
                <c:pt idx="15">
                  <c:v>896186</c:v>
                </c:pt>
                <c:pt idx="16">
                  <c:v>886595.20400000003</c:v>
                </c:pt>
                <c:pt idx="17">
                  <c:v>983741</c:v>
                </c:pt>
                <c:pt idx="18">
                  <c:v>1102203.29</c:v>
                </c:pt>
                <c:pt idx="19">
                  <c:v>1311331</c:v>
                </c:pt>
                <c:pt idx="20">
                  <c:v>1505342</c:v>
                </c:pt>
                <c:pt idx="21">
                  <c:v>1647115</c:v>
                </c:pt>
                <c:pt idx="22">
                  <c:v>1533411.37</c:v>
                </c:pt>
                <c:pt idx="23">
                  <c:v>1677999</c:v>
                </c:pt>
                <c:pt idx="24">
                  <c:v>1864768.97</c:v>
                </c:pt>
                <c:pt idx="25">
                  <c:v>1997536</c:v>
                </c:pt>
                <c:pt idx="26">
                  <c:v>2143246.19</c:v>
                </c:pt>
                <c:pt idx="27">
                  <c:v>2356417</c:v>
                </c:pt>
                <c:pt idx="28">
                  <c:v>2474683.17</c:v>
                </c:pt>
                <c:pt idx="29">
                  <c:v>2652910.7400000002</c:v>
                </c:pt>
                <c:pt idx="30">
                  <c:v>2860634.98</c:v>
                </c:pt>
                <c:pt idx="31">
                  <c:v>3073414</c:v>
                </c:pt>
                <c:pt idx="32">
                  <c:v>3432944.86</c:v>
                </c:pt>
                <c:pt idx="33">
                  <c:v>3542446</c:v>
                </c:pt>
                <c:pt idx="34">
                  <c:v>3832678</c:v>
                </c:pt>
                <c:pt idx="35">
                  <c:v>4027299.23</c:v>
                </c:pt>
                <c:pt idx="36">
                  <c:v>4352499</c:v>
                </c:pt>
                <c:pt idx="37">
                  <c:v>4835167</c:v>
                </c:pt>
                <c:pt idx="38">
                  <c:v>5548086</c:v>
                </c:pt>
                <c:pt idx="39">
                  <c:v>6399664</c:v>
                </c:pt>
                <c:pt idx="40">
                  <c:v>7213245.5499999998</c:v>
                </c:pt>
                <c:pt idx="41">
                  <c:v>8010984.21</c:v>
                </c:pt>
                <c:pt idx="42">
                  <c:v>8148154.0199999996</c:v>
                </c:pt>
                <c:pt idx="43">
                  <c:v>9712321</c:v>
                </c:pt>
                <c:pt idx="44">
                  <c:v>11813832.039999999</c:v>
                </c:pt>
                <c:pt idx="45">
                  <c:v>14083723.699999999</c:v>
                </c:pt>
                <c:pt idx="46">
                  <c:v>16080011.32</c:v>
                </c:pt>
                <c:pt idx="47">
                  <c:v>17845218.780000001</c:v>
                </c:pt>
                <c:pt idx="48">
                  <c:v>18984554</c:v>
                </c:pt>
                <c:pt idx="49">
                  <c:v>20044420.07</c:v>
                </c:pt>
                <c:pt idx="50">
                  <c:v>22654661.75</c:v>
                </c:pt>
                <c:pt idx="51">
                  <c:v>24251076.34</c:v>
                </c:pt>
                <c:pt idx="52">
                  <c:v>26171790.050000001</c:v>
                </c:pt>
                <c:pt idx="53">
                  <c:v>29721216.059999999</c:v>
                </c:pt>
                <c:pt idx="54">
                  <c:v>34274327</c:v>
                </c:pt>
                <c:pt idx="55">
                  <c:v>36190645</c:v>
                </c:pt>
                <c:pt idx="56">
                  <c:v>38570820</c:v>
                </c:pt>
                <c:pt idx="57">
                  <c:v>41091363</c:v>
                </c:pt>
                <c:pt idx="58">
                  <c:v>43913415</c:v>
                </c:pt>
                <c:pt idx="59">
                  <c:v>48732589</c:v>
                </c:pt>
                <c:pt idx="60">
                  <c:v>55736648</c:v>
                </c:pt>
                <c:pt idx="61">
                  <c:v>61298311</c:v>
                </c:pt>
                <c:pt idx="62">
                  <c:v>70267079</c:v>
                </c:pt>
                <c:pt idx="63">
                  <c:v>66035380</c:v>
                </c:pt>
                <c:pt idx="64">
                  <c:v>69530730</c:v>
                </c:pt>
                <c:pt idx="65">
                  <c:v>82110240.920000002</c:v>
                </c:pt>
                <c:pt idx="66">
                  <c:v>77075525.659999996</c:v>
                </c:pt>
                <c:pt idx="67">
                  <c:v>88638529.479999989</c:v>
                </c:pt>
                <c:pt idx="68">
                  <c:v>83408112.649999991</c:v>
                </c:pt>
                <c:pt idx="69">
                  <c:v>97736424.090000004</c:v>
                </c:pt>
                <c:pt idx="70">
                  <c:v>110018261.73999999</c:v>
                </c:pt>
                <c:pt idx="71">
                  <c:v>117298627.67</c:v>
                </c:pt>
                <c:pt idx="72">
                  <c:v>132109220.92</c:v>
                </c:pt>
                <c:pt idx="73">
                  <c:v>132079298.22</c:v>
                </c:pt>
                <c:pt idx="74">
                  <c:v>136163202.14999998</c:v>
                </c:pt>
                <c:pt idx="75">
                  <c:v>146068819.10999998</c:v>
                </c:pt>
                <c:pt idx="76">
                  <c:v>147919131.14000002</c:v>
                </c:pt>
                <c:pt idx="77">
                  <c:v>121635453.22999999</c:v>
                </c:pt>
                <c:pt idx="78">
                  <c:v>111969925.68000001</c:v>
                </c:pt>
                <c:pt idx="79">
                  <c:v>121022179.24000001</c:v>
                </c:pt>
                <c:pt idx="80">
                  <c:v>125306629.16</c:v>
                </c:pt>
                <c:pt idx="81">
                  <c:v>130739977.5</c:v>
                </c:pt>
                <c:pt idx="82">
                  <c:v>139306974.64000002</c:v>
                </c:pt>
                <c:pt idx="83">
                  <c:v>149588300.5</c:v>
                </c:pt>
                <c:pt idx="84">
                  <c:v>153278688.16</c:v>
                </c:pt>
                <c:pt idx="85">
                  <c:v>161576659</c:v>
                </c:pt>
                <c:pt idx="86">
                  <c:v>171997967</c:v>
                </c:pt>
                <c:pt idx="87">
                  <c:v>169833962.51000002</c:v>
                </c:pt>
                <c:pt idx="88">
                  <c:v>183557848.57000002</c:v>
                </c:pt>
                <c:pt idx="89">
                  <c:v>202478863.72</c:v>
                </c:pt>
                <c:pt idx="90">
                  <c:v>217261439.92999998</c:v>
                </c:pt>
                <c:pt idx="91">
                  <c:v>237721622.14000002</c:v>
                </c:pt>
                <c:pt idx="92">
                  <c:v>264609277.00999999</c:v>
                </c:pt>
              </c:numCache>
            </c:numRef>
          </c:val>
          <c:extLst>
            <c:ext xmlns:c16="http://schemas.microsoft.com/office/drawing/2014/chart" uri="{C3380CC4-5D6E-409C-BE32-E72D297353CC}">
              <c16:uniqueId val="{00000000-085A-4436-955E-7F7B852ADBCC}"/>
            </c:ext>
          </c:extLst>
        </c:ser>
        <c:dLbls>
          <c:showLegendKey val="0"/>
          <c:showVal val="0"/>
          <c:showCatName val="0"/>
          <c:showSerName val="0"/>
          <c:showPercent val="0"/>
          <c:showBubbleSize val="0"/>
        </c:dLbls>
        <c:axId val="57987456"/>
        <c:axId val="57990144"/>
      </c:areaChart>
      <c:lineChart>
        <c:grouping val="standard"/>
        <c:varyColors val="0"/>
        <c:ser>
          <c:idx val="1"/>
          <c:order val="1"/>
          <c:tx>
            <c:strRef>
              <c:f>'Insurance Premium Tax'!$J$3:$J$4</c:f>
              <c:strCache>
                <c:ptCount val="2"/>
                <c:pt idx="0">
                  <c:v>Real Tax Collections</c:v>
                </c:pt>
              </c:strCache>
            </c:strRef>
          </c:tx>
          <c:spPr>
            <a:ln w="12700">
              <a:solidFill>
                <a:srgbClr val="C00000"/>
              </a:solidFill>
              <a:prstDash val="solid"/>
            </a:ln>
          </c:spPr>
          <c:marker>
            <c:symbol val="square"/>
            <c:size val="5"/>
            <c:spPr>
              <a:solidFill>
                <a:srgbClr val="FFFFFF"/>
              </a:solidFill>
              <a:ln>
                <a:solidFill>
                  <a:srgbClr val="FF0000"/>
                </a:solidFill>
                <a:prstDash val="solid"/>
              </a:ln>
            </c:spPr>
          </c:marker>
          <c:val>
            <c:numRef>
              <c:f>'Insurance Premium Tax'!$J$5:$J$97</c:f>
              <c:numCache>
                <c:formatCode>#,##0_);[Red]\(#,##0\)</c:formatCode>
                <c:ptCount val="93"/>
                <c:pt idx="0">
                  <c:v>1285605.8394160585</c:v>
                </c:pt>
                <c:pt idx="1">
                  <c:v>1321207.6923076923</c:v>
                </c:pt>
                <c:pt idx="2">
                  <c:v>1419559.7014925373</c:v>
                </c:pt>
                <c:pt idx="3">
                  <c:v>2175846.7153284675</c:v>
                </c:pt>
                <c:pt idx="4">
                  <c:v>2189057.5539568341</c:v>
                </c:pt>
                <c:pt idx="5">
                  <c:v>2430680.555555555</c:v>
                </c:pt>
                <c:pt idx="6">
                  <c:v>2935609.9290780146</c:v>
                </c:pt>
                <c:pt idx="7">
                  <c:v>2584244.6043165466</c:v>
                </c:pt>
                <c:pt idx="8">
                  <c:v>2722662.1999999997</c:v>
                </c:pt>
                <c:pt idx="9">
                  <c:v>2804884.5918367351</c:v>
                </c:pt>
                <c:pt idx="10">
                  <c:v>3253346.0122699388</c:v>
                </c:pt>
                <c:pt idx="11">
                  <c:v>3418612.7167630056</c:v>
                </c:pt>
                <c:pt idx="12">
                  <c:v>3274094.1136363633</c:v>
                </c:pt>
                <c:pt idx="13">
                  <c:v>3661472.2222222225</c:v>
                </c:pt>
                <c:pt idx="14">
                  <c:v>3588589.2717948719</c:v>
                </c:pt>
                <c:pt idx="15">
                  <c:v>4018771.3004484302</c:v>
                </c:pt>
                <c:pt idx="16">
                  <c:v>3678818.2738589211</c:v>
                </c:pt>
                <c:pt idx="17">
                  <c:v>4133365.546218487</c:v>
                </c:pt>
                <c:pt idx="18">
                  <c:v>4573457.6348547712</c:v>
                </c:pt>
                <c:pt idx="19">
                  <c:v>5043580.769230769</c:v>
                </c:pt>
                <c:pt idx="20">
                  <c:v>5680535.8490566034</c:v>
                </c:pt>
                <c:pt idx="21">
                  <c:v>6168970.037453183</c:v>
                </c:pt>
                <c:pt idx="22">
                  <c:v>5700414.0148698892</c:v>
                </c:pt>
                <c:pt idx="23">
                  <c:v>6261190.2985074623</c:v>
                </c:pt>
                <c:pt idx="24">
                  <c:v>6855768.2720588231</c:v>
                </c:pt>
                <c:pt idx="25">
                  <c:v>7108669.0391459065</c:v>
                </c:pt>
                <c:pt idx="26">
                  <c:v>7416076.7820069203</c:v>
                </c:pt>
                <c:pt idx="27">
                  <c:v>8097652.9209621986</c:v>
                </c:pt>
                <c:pt idx="28">
                  <c:v>8360416.1148648635</c:v>
                </c:pt>
                <c:pt idx="29">
                  <c:v>8872611.170568563</c:v>
                </c:pt>
                <c:pt idx="30">
                  <c:v>9472301.2582781464</c:v>
                </c:pt>
                <c:pt idx="31">
                  <c:v>10043836.601307189</c:v>
                </c:pt>
                <c:pt idx="32">
                  <c:v>11074015.677419355</c:v>
                </c:pt>
                <c:pt idx="33">
                  <c:v>11245860.317460317</c:v>
                </c:pt>
                <c:pt idx="34">
                  <c:v>11829253.086419752</c:v>
                </c:pt>
                <c:pt idx="35">
                  <c:v>12057782.125748504</c:v>
                </c:pt>
                <c:pt idx="36">
                  <c:v>12507181.03448276</c:v>
                </c:pt>
                <c:pt idx="37">
                  <c:v>13174841.96185286</c:v>
                </c:pt>
                <c:pt idx="38">
                  <c:v>14299190.721649487</c:v>
                </c:pt>
                <c:pt idx="39">
                  <c:v>15801639.506172838</c:v>
                </c:pt>
                <c:pt idx="40">
                  <c:v>17256568.301435407</c:v>
                </c:pt>
                <c:pt idx="41">
                  <c:v>18042757.229729731</c:v>
                </c:pt>
                <c:pt idx="42">
                  <c:v>16527695.780933062</c:v>
                </c:pt>
                <c:pt idx="43">
                  <c:v>18052641.263940524</c:v>
                </c:pt>
                <c:pt idx="44">
                  <c:v>20762446.467486817</c:v>
                </c:pt>
                <c:pt idx="45">
                  <c:v>23240468.15181518</c:v>
                </c:pt>
                <c:pt idx="46">
                  <c:v>24662594.049079753</c:v>
                </c:pt>
                <c:pt idx="47">
                  <c:v>24580191.157024797</c:v>
                </c:pt>
                <c:pt idx="48">
                  <c:v>23039507.281553395</c:v>
                </c:pt>
                <c:pt idx="49">
                  <c:v>22051067.183718372</c:v>
                </c:pt>
                <c:pt idx="50">
                  <c:v>23476333.419689119</c:v>
                </c:pt>
                <c:pt idx="51">
                  <c:v>24348470.220883533</c:v>
                </c:pt>
                <c:pt idx="52">
                  <c:v>25189403.320500478</c:v>
                </c:pt>
                <c:pt idx="53">
                  <c:v>27621948.01115242</c:v>
                </c:pt>
                <c:pt idx="54">
                  <c:v>31272196.167883217</c:v>
                </c:pt>
                <c:pt idx="55">
                  <c:v>31857962.147887327</c:v>
                </c:pt>
                <c:pt idx="56">
                  <c:v>32604243.448858831</c:v>
                </c:pt>
                <c:pt idx="57">
                  <c:v>33138195.967741936</c:v>
                </c:pt>
                <c:pt idx="58">
                  <c:v>33598634.276970163</c:v>
                </c:pt>
                <c:pt idx="59">
                  <c:v>35780168.135095455</c:v>
                </c:pt>
                <c:pt idx="60">
                  <c:v>39726762.651461154</c:v>
                </c:pt>
                <c:pt idx="61">
                  <c:v>42420976.470588237</c:v>
                </c:pt>
                <c:pt idx="62">
                  <c:v>47413683.535762481</c:v>
                </c:pt>
                <c:pt idx="63">
                  <c:v>43330301.837270342</c:v>
                </c:pt>
                <c:pt idx="64">
                  <c:v>44315315.487571701</c:v>
                </c:pt>
                <c:pt idx="65">
                  <c:v>51159028.610591903</c:v>
                </c:pt>
                <c:pt idx="66">
                  <c:v>47285598.564417176</c:v>
                </c:pt>
                <c:pt idx="67">
                  <c:v>53204399.447779104</c:v>
                </c:pt>
                <c:pt idx="68">
                  <c:v>48436766.927990705</c:v>
                </c:pt>
                <c:pt idx="69">
                  <c:v>55187139.520045176</c:v>
                </c:pt>
                <c:pt idx="70">
                  <c:v>61155231.650917165</c:v>
                </c:pt>
                <c:pt idx="71">
                  <c:v>63749254.168478258</c:v>
                </c:pt>
                <c:pt idx="72">
                  <c:v>69936061.895182639</c:v>
                </c:pt>
                <c:pt idx="73">
                  <c:v>67628928.940092161</c:v>
                </c:pt>
                <c:pt idx="74">
                  <c:v>67541270.90773809</c:v>
                </c:pt>
                <c:pt idx="75">
                  <c:v>70448254.145325109</c:v>
                </c:pt>
                <c:pt idx="76">
                  <c:v>68702772.901445881</c:v>
                </c:pt>
                <c:pt idx="77">
                  <c:v>56696725.147643521</c:v>
                </c:pt>
                <c:pt idx="78">
                  <c:v>51349160.619290456</c:v>
                </c:pt>
                <c:pt idx="79">
                  <c:v>53802221.597855426</c:v>
                </c:pt>
                <c:pt idx="80">
                  <c:v>54577484.237392962</c:v>
                </c:pt>
                <c:pt idx="81">
                  <c:v>56121935.593263991</c:v>
                </c:pt>
                <c:pt idx="82">
                  <c:v>58844862.90213573</c:v>
                </c:pt>
                <c:pt idx="83">
                  <c:v>63112899.285705246</c:v>
                </c:pt>
                <c:pt idx="84">
                  <c:v>63864124.3127819</c:v>
                </c:pt>
                <c:pt idx="85">
                  <c:v>65917505.135250352</c:v>
                </c:pt>
                <c:pt idx="86">
                  <c:v>68495887.012309492</c:v>
                </c:pt>
                <c:pt idx="87">
                  <c:v>66430268.038293414</c:v>
                </c:pt>
                <c:pt idx="88">
                  <c:v>70923511.199292153</c:v>
                </c:pt>
                <c:pt idx="89">
                  <c:v>74723857.747827709</c:v>
                </c:pt>
                <c:pt idx="90">
                  <c:v>74238075.525789753</c:v>
                </c:pt>
                <c:pt idx="91">
                  <c:v>78017742.627222672</c:v>
                </c:pt>
                <c:pt idx="92">
                  <c:v>84354018.473711222</c:v>
                </c:pt>
              </c:numCache>
            </c:numRef>
          </c:val>
          <c:smooth val="0"/>
          <c:extLst>
            <c:ext xmlns:c16="http://schemas.microsoft.com/office/drawing/2014/chart" uri="{C3380CC4-5D6E-409C-BE32-E72D297353CC}">
              <c16:uniqueId val="{00000001-085A-4436-955E-7F7B852ADBCC}"/>
            </c:ext>
          </c:extLst>
        </c:ser>
        <c:dLbls>
          <c:showLegendKey val="0"/>
          <c:showVal val="0"/>
          <c:showCatName val="0"/>
          <c:showSerName val="0"/>
          <c:showPercent val="0"/>
          <c:showBubbleSize val="0"/>
        </c:dLbls>
        <c:marker val="1"/>
        <c:smooth val="0"/>
        <c:axId val="57987456"/>
        <c:axId val="57990144"/>
      </c:lineChart>
      <c:catAx>
        <c:axId val="57987456"/>
        <c:scaling>
          <c:orientation val="minMax"/>
        </c:scaling>
        <c:delete val="0"/>
        <c:axPos val="b"/>
        <c:title>
          <c:tx>
            <c:rich>
              <a:bodyPr rot="0" vert="horz" anchor="ctr" anchorCtr="1"/>
              <a:lstStyle/>
              <a:p>
                <a:pPr algn="ctr">
                  <a:defRPr sz="1200" b="1" i="0" u="none" strike="noStrike" baseline="0">
                    <a:solidFill>
                      <a:srgbClr val="000000"/>
                    </a:solidFill>
                    <a:latin typeface="Times New Roman"/>
                    <a:ea typeface="Times New Roman"/>
                    <a:cs typeface="Times New Roman"/>
                  </a:defRPr>
                </a:pPr>
                <a:r>
                  <a:rPr lang="en-US"/>
                  <a:t>Fiscal Year</a:t>
                </a:r>
              </a:p>
            </c:rich>
          </c:tx>
          <c:layout>
            <c:manualLayout>
              <c:xMode val="edge"/>
              <c:yMode val="edge"/>
              <c:x val="0.50326940323682112"/>
              <c:y val="0.92711440481703911"/>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Times New Roman"/>
                <a:ea typeface="Times New Roman"/>
                <a:cs typeface="Times New Roman"/>
              </a:defRPr>
            </a:pPr>
            <a:endParaRPr lang="en-US"/>
          </a:p>
        </c:txPr>
        <c:crossAx val="57990144"/>
        <c:crosses val="autoZero"/>
        <c:auto val="0"/>
        <c:lblAlgn val="ctr"/>
        <c:lblOffset val="100"/>
        <c:tickLblSkip val="5"/>
        <c:tickMarkSkip val="1"/>
        <c:noMultiLvlLbl val="0"/>
      </c:catAx>
      <c:valAx>
        <c:axId val="57990144"/>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Times New Roman"/>
                    <a:ea typeface="Times New Roman"/>
                    <a:cs typeface="Times New Roman"/>
                  </a:defRPr>
                </a:pPr>
                <a:r>
                  <a:rPr lang="en-US"/>
                  <a:t>Collections</a:t>
                </a:r>
              </a:p>
            </c:rich>
          </c:tx>
          <c:layout>
            <c:manualLayout>
              <c:xMode val="edge"/>
              <c:yMode val="edge"/>
              <c:x val="1.4314088481886473E-2"/>
              <c:y val="0.35621334663483806"/>
            </c:manualLayout>
          </c:layout>
          <c:overlay val="0"/>
          <c:spPr>
            <a:noFill/>
            <a:ln w="25400">
              <a:noFill/>
            </a:ln>
          </c:spPr>
        </c:title>
        <c:numFmt formatCode="\$#,##0_);\(\$#,##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en-US"/>
          </a:p>
        </c:txPr>
        <c:crossAx val="57987456"/>
        <c:crosses val="autoZero"/>
        <c:crossBetween val="midCat"/>
      </c:valAx>
      <c:spPr>
        <a:noFill/>
        <a:ln w="3175">
          <a:solidFill>
            <a:srgbClr val="000000"/>
          </a:solidFill>
          <a:prstDash val="solid"/>
        </a:ln>
      </c:spPr>
    </c:plotArea>
    <c:legend>
      <c:legendPos val="r"/>
      <c:layout>
        <c:manualLayout>
          <c:xMode val="edge"/>
          <c:yMode val="edge"/>
          <c:x val="0.20872822715342598"/>
          <c:y val="0.17011626940297644"/>
          <c:w val="0.55415101325501193"/>
          <c:h val="8.2764100188834636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oddHeader>&amp;A</c:oddHeader>
      <c:oddFooter>&amp;L&amp;"Times New Roman,Regular"&amp;8Real numbers are based on using the CPI of the previous year.
The CPI base period for real numbers: 1982 to 1984 = 100.&amp;R&amp;"Times New Roman,Regular"&amp;8Economic and Statistical Unit
Utah State Tax Commission</c:oddFooter>
    </c:headerFooter>
    <c:pageMargins b="1" l="0.75000000000000733" r="0.75000000000000733" t="1" header="0.5" footer="0.5"/>
    <c:pageSetup orientation="landscape"/>
  </c:printSettings>
  <c:userShapes r:id="rId2"/>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nchor="b" anchorCtr="0"/>
          <a:lstStyle/>
          <a:p>
            <a:pPr>
              <a:defRPr sz="1400" b="1" i="0" u="none" strike="noStrike" baseline="0">
                <a:solidFill>
                  <a:srgbClr val="000000"/>
                </a:solidFill>
                <a:latin typeface="Times New Roman"/>
                <a:ea typeface="Times New Roman"/>
                <a:cs typeface="Times New Roman"/>
              </a:defRPr>
            </a:pPr>
            <a:r>
              <a:rPr lang="en-US"/>
              <a:t>Oil &amp; Gas Conservation Fee: Collections</a:t>
            </a:r>
          </a:p>
        </c:rich>
      </c:tx>
      <c:layout>
        <c:manualLayout>
          <c:xMode val="edge"/>
          <c:yMode val="edge"/>
          <c:x val="0.25795948162729665"/>
          <c:y val="3.1293927625562656E-2"/>
        </c:manualLayout>
      </c:layout>
      <c:overlay val="0"/>
      <c:spPr>
        <a:noFill/>
        <a:ln w="25400">
          <a:noFill/>
        </a:ln>
      </c:spPr>
    </c:title>
    <c:autoTitleDeleted val="0"/>
    <c:plotArea>
      <c:layout>
        <c:manualLayout>
          <c:layoutTarget val="inner"/>
          <c:xMode val="edge"/>
          <c:yMode val="edge"/>
          <c:x val="0.16366141732283471"/>
          <c:y val="0.13438007805788066"/>
          <c:w val="0.782057906824147"/>
          <c:h val="0.70241992375387463"/>
        </c:manualLayout>
      </c:layout>
      <c:areaChart>
        <c:grouping val="standard"/>
        <c:varyColors val="0"/>
        <c:ser>
          <c:idx val="0"/>
          <c:order val="0"/>
          <c:tx>
            <c:strRef>
              <c:f>'Oil &amp; Gas Conservation Fee'!$B$3</c:f>
              <c:strCache>
                <c:ptCount val="1"/>
                <c:pt idx="0">
                  <c:v>Tax Collections</c:v>
                </c:pt>
              </c:strCache>
            </c:strRef>
          </c:tx>
          <c:spPr>
            <a:solidFill>
              <a:srgbClr val="969696"/>
            </a:solidFill>
            <a:ln w="12700">
              <a:solidFill>
                <a:srgbClr val="000000"/>
              </a:solidFill>
              <a:prstDash val="solid"/>
            </a:ln>
          </c:spPr>
          <c:cat>
            <c:numRef>
              <c:f>'Oil &amp; Gas Conservation Fee'!$A$4:$A$47</c:f>
              <c:numCache>
                <c:formatCode>General</c:formatCode>
                <c:ptCount val="44"/>
                <c:pt idx="0">
                  <c:v>1982</c:v>
                </c:pt>
                <c:pt idx="1">
                  <c:v>1983</c:v>
                </c:pt>
                <c:pt idx="2">
                  <c:v>1984</c:v>
                </c:pt>
                <c:pt idx="3">
                  <c:v>1985</c:v>
                </c:pt>
                <c:pt idx="4">
                  <c:v>1986</c:v>
                </c:pt>
                <c:pt idx="5">
                  <c:v>1987</c:v>
                </c:pt>
                <c:pt idx="6">
                  <c:v>1988</c:v>
                </c:pt>
                <c:pt idx="7">
                  <c:v>1989</c:v>
                </c:pt>
                <c:pt idx="8">
                  <c:v>1990</c:v>
                </c:pt>
                <c:pt idx="9">
                  <c:v>1991</c:v>
                </c:pt>
                <c:pt idx="10">
                  <c:v>1992</c:v>
                </c:pt>
                <c:pt idx="11">
                  <c:v>1993</c:v>
                </c:pt>
                <c:pt idx="12">
                  <c:v>1994</c:v>
                </c:pt>
                <c:pt idx="13">
                  <c:v>1995</c:v>
                </c:pt>
                <c:pt idx="14">
                  <c:v>1996</c:v>
                </c:pt>
                <c:pt idx="15">
                  <c:v>1997</c:v>
                </c:pt>
                <c:pt idx="16">
                  <c:v>1998</c:v>
                </c:pt>
                <c:pt idx="17">
                  <c:v>1999</c:v>
                </c:pt>
                <c:pt idx="18">
                  <c:v>2000</c:v>
                </c:pt>
                <c:pt idx="19">
                  <c:v>2001</c:v>
                </c:pt>
                <c:pt idx="20">
                  <c:v>2002</c:v>
                </c:pt>
                <c:pt idx="21">
                  <c:v>2003</c:v>
                </c:pt>
                <c:pt idx="22">
                  <c:v>2004</c:v>
                </c:pt>
                <c:pt idx="23">
                  <c:v>2005</c:v>
                </c:pt>
                <c:pt idx="24">
                  <c:v>2006</c:v>
                </c:pt>
                <c:pt idx="25">
                  <c:v>2007</c:v>
                </c:pt>
                <c:pt idx="26">
                  <c:v>2008</c:v>
                </c:pt>
                <c:pt idx="27">
                  <c:v>2009</c:v>
                </c:pt>
                <c:pt idx="28">
                  <c:v>2010</c:v>
                </c:pt>
                <c:pt idx="29">
                  <c:v>2011</c:v>
                </c:pt>
                <c:pt idx="30">
                  <c:v>2012</c:v>
                </c:pt>
                <c:pt idx="31">
                  <c:v>2013</c:v>
                </c:pt>
                <c:pt idx="32">
                  <c:v>2014</c:v>
                </c:pt>
                <c:pt idx="33">
                  <c:v>2015</c:v>
                </c:pt>
                <c:pt idx="34">
                  <c:v>2016</c:v>
                </c:pt>
                <c:pt idx="35">
                  <c:v>2017</c:v>
                </c:pt>
                <c:pt idx="36">
                  <c:v>2018</c:v>
                </c:pt>
                <c:pt idx="37">
                  <c:v>2019</c:v>
                </c:pt>
                <c:pt idx="38">
                  <c:v>2020</c:v>
                </c:pt>
                <c:pt idx="39">
                  <c:v>2021</c:v>
                </c:pt>
                <c:pt idx="40">
                  <c:v>2022</c:v>
                </c:pt>
                <c:pt idx="41">
                  <c:v>2023</c:v>
                </c:pt>
                <c:pt idx="42">
                  <c:v>2024</c:v>
                </c:pt>
                <c:pt idx="43">
                  <c:v>2025</c:v>
                </c:pt>
              </c:numCache>
            </c:numRef>
          </c:cat>
          <c:val>
            <c:numRef>
              <c:f>'Oil &amp; Gas Conservation Fee'!$B$4:$B$47</c:f>
              <c:numCache>
                <c:formatCode>#,##0_);\(#,##0\)</c:formatCode>
                <c:ptCount val="44"/>
                <c:pt idx="0">
                  <c:v>1617373</c:v>
                </c:pt>
                <c:pt idx="1">
                  <c:v>1730952</c:v>
                </c:pt>
                <c:pt idx="2">
                  <c:v>2173090</c:v>
                </c:pt>
                <c:pt idx="3">
                  <c:v>2473266</c:v>
                </c:pt>
                <c:pt idx="4">
                  <c:v>2313495</c:v>
                </c:pt>
                <c:pt idx="5">
                  <c:v>1232911</c:v>
                </c:pt>
                <c:pt idx="6">
                  <c:v>1825391</c:v>
                </c:pt>
                <c:pt idx="7">
                  <c:v>1064730</c:v>
                </c:pt>
                <c:pt idx="8">
                  <c:v>1515236</c:v>
                </c:pt>
                <c:pt idx="9">
                  <c:v>1440823</c:v>
                </c:pt>
                <c:pt idx="10">
                  <c:v>1114906</c:v>
                </c:pt>
                <c:pt idx="11">
                  <c:v>1077270</c:v>
                </c:pt>
                <c:pt idx="12">
                  <c:v>988123</c:v>
                </c:pt>
                <c:pt idx="13">
                  <c:v>973717</c:v>
                </c:pt>
                <c:pt idx="14">
                  <c:v>1076284</c:v>
                </c:pt>
                <c:pt idx="15">
                  <c:v>1357303</c:v>
                </c:pt>
                <c:pt idx="16">
                  <c:v>1181671</c:v>
                </c:pt>
                <c:pt idx="17">
                  <c:v>1049293</c:v>
                </c:pt>
                <c:pt idx="18">
                  <c:v>1204200</c:v>
                </c:pt>
                <c:pt idx="19">
                  <c:v>2748318</c:v>
                </c:pt>
                <c:pt idx="20">
                  <c:v>1710219</c:v>
                </c:pt>
                <c:pt idx="21">
                  <c:v>1943755</c:v>
                </c:pt>
                <c:pt idx="22">
                  <c:v>2696250</c:v>
                </c:pt>
                <c:pt idx="23">
                  <c:v>3631963</c:v>
                </c:pt>
                <c:pt idx="24">
                  <c:v>5560449</c:v>
                </c:pt>
                <c:pt idx="25">
                  <c:v>4747883</c:v>
                </c:pt>
                <c:pt idx="26">
                  <c:v>5408934</c:v>
                </c:pt>
                <c:pt idx="27">
                  <c:v>6835191</c:v>
                </c:pt>
                <c:pt idx="28">
                  <c:v>4191039</c:v>
                </c:pt>
                <c:pt idx="29">
                  <c:v>5784545</c:v>
                </c:pt>
                <c:pt idx="30">
                  <c:v>6432953</c:v>
                </c:pt>
                <c:pt idx="31">
                  <c:v>5870532</c:v>
                </c:pt>
                <c:pt idx="32">
                  <c:v>7821433</c:v>
                </c:pt>
                <c:pt idx="33">
                  <c:v>6727949</c:v>
                </c:pt>
                <c:pt idx="34">
                  <c:v>3121286</c:v>
                </c:pt>
                <c:pt idx="35">
                  <c:v>3337883</c:v>
                </c:pt>
                <c:pt idx="36">
                  <c:v>3467648</c:v>
                </c:pt>
                <c:pt idx="37">
                  <c:v>4524169</c:v>
                </c:pt>
                <c:pt idx="38">
                  <c:v>3663583.4500000007</c:v>
                </c:pt>
                <c:pt idx="39">
                  <c:v>2654179.4799999995</c:v>
                </c:pt>
                <c:pt idx="40">
                  <c:v>6182810.1600000001</c:v>
                </c:pt>
                <c:pt idx="41">
                  <c:v>10379194</c:v>
                </c:pt>
                <c:pt idx="42">
                  <c:v>7764995.6800000006</c:v>
                </c:pt>
                <c:pt idx="43">
                  <c:v>7827004.4100000011</c:v>
                </c:pt>
              </c:numCache>
            </c:numRef>
          </c:val>
          <c:extLst>
            <c:ext xmlns:c16="http://schemas.microsoft.com/office/drawing/2014/chart" uri="{C3380CC4-5D6E-409C-BE32-E72D297353CC}">
              <c16:uniqueId val="{00000000-A2F7-4A17-8271-543783A670E4}"/>
            </c:ext>
          </c:extLst>
        </c:ser>
        <c:dLbls>
          <c:showLegendKey val="0"/>
          <c:showVal val="0"/>
          <c:showCatName val="0"/>
          <c:showSerName val="0"/>
          <c:showPercent val="0"/>
          <c:showBubbleSize val="0"/>
        </c:dLbls>
        <c:axId val="58167680"/>
        <c:axId val="58169984"/>
      </c:areaChart>
      <c:lineChart>
        <c:grouping val="standard"/>
        <c:varyColors val="0"/>
        <c:ser>
          <c:idx val="1"/>
          <c:order val="1"/>
          <c:tx>
            <c:strRef>
              <c:f>'Oil &amp; Gas Conservation Fee'!$C$3</c:f>
              <c:strCache>
                <c:ptCount val="1"/>
                <c:pt idx="0">
                  <c:v>Real Tax Collections</c:v>
                </c:pt>
              </c:strCache>
            </c:strRef>
          </c:tx>
          <c:spPr>
            <a:ln w="12700">
              <a:solidFill>
                <a:srgbClr val="C00000"/>
              </a:solidFill>
              <a:prstDash val="solid"/>
            </a:ln>
          </c:spPr>
          <c:marker>
            <c:symbol val="square"/>
            <c:size val="5"/>
            <c:spPr>
              <a:solidFill>
                <a:srgbClr val="FFFFFF"/>
              </a:solidFill>
              <a:ln>
                <a:solidFill>
                  <a:srgbClr val="FF0000"/>
                </a:solidFill>
                <a:prstDash val="solid"/>
              </a:ln>
            </c:spPr>
          </c:marker>
          <c:cat>
            <c:numRef>
              <c:f>'Oil &amp; Gas Conservation Fee'!$A$5:$A$40</c:f>
              <c:numCache>
                <c:formatCode>General</c:formatCode>
                <c:ptCount val="36"/>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numCache>
            </c:numRef>
          </c:cat>
          <c:val>
            <c:numRef>
              <c:f>'Oil &amp; Gas Conservation Fee'!$C$4:$C$47</c:f>
              <c:numCache>
                <c:formatCode>#,##0_);\(#,##0\)</c:formatCode>
                <c:ptCount val="44"/>
                <c:pt idx="0">
                  <c:v>1779288.2288228823</c:v>
                </c:pt>
                <c:pt idx="1">
                  <c:v>1793732.6424870468</c:v>
                </c:pt>
                <c:pt idx="2">
                  <c:v>2181817.2690763054</c:v>
                </c:pt>
                <c:pt idx="3">
                  <c:v>2380429.258902791</c:v>
                </c:pt>
                <c:pt idx="4">
                  <c:v>2150088.2899628254</c:v>
                </c:pt>
                <c:pt idx="5">
                  <c:v>1124918.7956204382</c:v>
                </c:pt>
                <c:pt idx="6">
                  <c:v>1606858.2746478876</c:v>
                </c:pt>
                <c:pt idx="7">
                  <c:v>900025.35925612843</c:v>
                </c:pt>
                <c:pt idx="8">
                  <c:v>1221964.5161290322</c:v>
                </c:pt>
                <c:pt idx="9">
                  <c:v>1102389.441469013</c:v>
                </c:pt>
                <c:pt idx="10">
                  <c:v>818580.02936857566</c:v>
                </c:pt>
                <c:pt idx="11">
                  <c:v>767833.21454027086</c:v>
                </c:pt>
                <c:pt idx="12">
                  <c:v>683822.14532871975</c:v>
                </c:pt>
                <c:pt idx="13">
                  <c:v>657029.0148448043</c:v>
                </c:pt>
                <c:pt idx="14">
                  <c:v>706223.09711286088</c:v>
                </c:pt>
                <c:pt idx="15">
                  <c:v>865075.20713830472</c:v>
                </c:pt>
                <c:pt idx="16">
                  <c:v>736243.61370716512</c:v>
                </c:pt>
                <c:pt idx="17">
                  <c:v>643738.03680981603</c:v>
                </c:pt>
                <c:pt idx="18">
                  <c:v>722809.1236494598</c:v>
                </c:pt>
                <c:pt idx="19">
                  <c:v>1596003.4843205574</c:v>
                </c:pt>
                <c:pt idx="20">
                  <c:v>965679.84189723327</c:v>
                </c:pt>
                <c:pt idx="21">
                  <c:v>1080464.1467481933</c:v>
                </c:pt>
                <c:pt idx="22">
                  <c:v>1465353.2608695652</c:v>
                </c:pt>
                <c:pt idx="23">
                  <c:v>1922690.8417151931</c:v>
                </c:pt>
                <c:pt idx="24">
                  <c:v>2847132.104454685</c:v>
                </c:pt>
                <c:pt idx="25">
                  <c:v>2355100.6944444445</c:v>
                </c:pt>
                <c:pt idx="26">
                  <c:v>2608701.5655294149</c:v>
                </c:pt>
                <c:pt idx="27">
                  <c:v>3174684.5143820574</c:v>
                </c:pt>
                <c:pt idx="28">
                  <c:v>1953527.3635783102</c:v>
                </c:pt>
                <c:pt idx="29">
                  <c:v>2652779.561213633</c:v>
                </c:pt>
                <c:pt idx="30">
                  <c:v>2859865.5635527852</c:v>
                </c:pt>
                <c:pt idx="31">
                  <c:v>2556918.7348101432</c:v>
                </c:pt>
                <c:pt idx="32">
                  <c:v>3357457.814103032</c:v>
                </c:pt>
                <c:pt idx="33">
                  <c:v>2841962.77710192</c:v>
                </c:pt>
                <c:pt idx="34">
                  <c:v>1316903.8507786363</c:v>
                </c:pt>
                <c:pt idx="35">
                  <c:v>1390741.12267325</c:v>
                </c:pt>
                <c:pt idx="36">
                  <c:v>1414676.514924353</c:v>
                </c:pt>
                <c:pt idx="37">
                  <c:v>1801689.7179290103</c:v>
                </c:pt>
                <c:pt idx="38">
                  <c:v>1433004.4884268993</c:v>
                </c:pt>
                <c:pt idx="39">
                  <c:v>1025528.080336616</c:v>
                </c:pt>
                <c:pt idx="40">
                  <c:v>2281736.5644472903</c:v>
                </c:pt>
                <c:pt idx="41">
                  <c:v>3546563.0178879569</c:v>
                </c:pt>
                <c:pt idx="42">
                  <c:v>2548390.1254340308</c:v>
                </c:pt>
                <c:pt idx="43">
                  <c:v>2495147.8725744295</c:v>
                </c:pt>
              </c:numCache>
            </c:numRef>
          </c:val>
          <c:smooth val="0"/>
          <c:extLst>
            <c:ext xmlns:c16="http://schemas.microsoft.com/office/drawing/2014/chart" uri="{C3380CC4-5D6E-409C-BE32-E72D297353CC}">
              <c16:uniqueId val="{00000001-A2F7-4A17-8271-543783A670E4}"/>
            </c:ext>
          </c:extLst>
        </c:ser>
        <c:dLbls>
          <c:showLegendKey val="0"/>
          <c:showVal val="0"/>
          <c:showCatName val="0"/>
          <c:showSerName val="0"/>
          <c:showPercent val="0"/>
          <c:showBubbleSize val="0"/>
        </c:dLbls>
        <c:marker val="1"/>
        <c:smooth val="0"/>
        <c:axId val="58167680"/>
        <c:axId val="58169984"/>
      </c:lineChart>
      <c:catAx>
        <c:axId val="58167680"/>
        <c:scaling>
          <c:orientation val="minMax"/>
        </c:scaling>
        <c:delete val="0"/>
        <c:axPos val="b"/>
        <c:title>
          <c:tx>
            <c:rich>
              <a:bodyPr rot="0" vert="horz" anchor="ctr" anchorCtr="1"/>
              <a:lstStyle/>
              <a:p>
                <a:pPr algn="ctr">
                  <a:defRPr sz="1200" b="1" i="0" u="none" strike="noStrike" baseline="0">
                    <a:solidFill>
                      <a:srgbClr val="000000"/>
                    </a:solidFill>
                    <a:latin typeface="Times New Roman"/>
                    <a:ea typeface="Times New Roman"/>
                    <a:cs typeface="Times New Roman"/>
                  </a:defRPr>
                </a:pPr>
                <a:r>
                  <a:rPr lang="en-US"/>
                  <a:t>Fiscal Year</a:t>
                </a:r>
              </a:p>
            </c:rich>
          </c:tx>
          <c:layout>
            <c:manualLayout>
              <c:xMode val="edge"/>
              <c:yMode val="edge"/>
              <c:x val="0.49701935695538058"/>
              <c:y val="0.93314758732081571"/>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Times New Roman"/>
                <a:ea typeface="Times New Roman"/>
                <a:cs typeface="Times New Roman"/>
              </a:defRPr>
            </a:pPr>
            <a:endParaRPr lang="en-US"/>
          </a:p>
        </c:txPr>
        <c:crossAx val="58169984"/>
        <c:crosses val="autoZero"/>
        <c:auto val="0"/>
        <c:lblAlgn val="ctr"/>
        <c:lblOffset val="100"/>
        <c:tickMarkSkip val="1"/>
        <c:noMultiLvlLbl val="0"/>
      </c:catAx>
      <c:valAx>
        <c:axId val="58169984"/>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Times New Roman"/>
                    <a:ea typeface="Times New Roman"/>
                    <a:cs typeface="Times New Roman"/>
                  </a:defRPr>
                </a:pPr>
                <a:r>
                  <a:rPr lang="en-US"/>
                  <a:t>Collections</a:t>
                </a:r>
              </a:p>
            </c:rich>
          </c:tx>
          <c:layout>
            <c:manualLayout>
              <c:xMode val="edge"/>
              <c:yMode val="edge"/>
              <c:x val="1.4314140419947507E-2"/>
              <c:y val="0.36827971164237988"/>
            </c:manualLayout>
          </c:layout>
          <c:overlay val="0"/>
          <c:spPr>
            <a:noFill/>
            <a:ln w="25400">
              <a:noFill/>
            </a:ln>
          </c:spPr>
        </c:title>
        <c:numFmt formatCode="\$#,##0_);\(\$#,##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en-US"/>
          </a:p>
        </c:txPr>
        <c:crossAx val="58167680"/>
        <c:crosses val="autoZero"/>
        <c:crossBetween val="midCat"/>
      </c:valAx>
      <c:spPr>
        <a:noFill/>
        <a:ln w="3175">
          <a:solidFill>
            <a:srgbClr val="000000"/>
          </a:solidFill>
          <a:prstDash val="solid"/>
        </a:ln>
      </c:spPr>
    </c:plotArea>
    <c:legend>
      <c:legendPos val="r"/>
      <c:layout>
        <c:manualLayout>
          <c:xMode val="edge"/>
          <c:yMode val="edge"/>
          <c:x val="0.20872822715342598"/>
          <c:y val="0.17011626940297644"/>
          <c:w val="0.55415101325501193"/>
          <c:h val="7.9747508936948999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oddHeader>&amp;A</c:oddHeader>
      <c:oddFooter>&amp;L&amp;"Times New Roman,Regular"&amp;8Real numbers are based on using the CPI of the previous year.
The CPI base period for real numbers: 1982 to 1984 = 100.&amp;R&amp;"Times New Roman,Regular"&amp;8Economic and Statistical Unit
Utah State Tax Commission</c:oddFooter>
    </c:headerFooter>
    <c:pageMargins b="1" l="0.75000000000000733" r="0.75000000000000733" t="1" header="0.5" footer="0.5"/>
    <c:pageSetup orientation="landscape"/>
  </c:printSettings>
  <c:userShapes r:id="rId2"/>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b="1" i="0" u="none" strike="noStrike" baseline="0">
                <a:solidFill>
                  <a:srgbClr val="000000"/>
                </a:solidFill>
                <a:latin typeface="Times New Roman"/>
                <a:ea typeface="Times New Roman"/>
                <a:cs typeface="Times New Roman"/>
              </a:defRPr>
            </a:pPr>
            <a:r>
              <a:rPr lang="en-US"/>
              <a:t>Oil &amp; Gas Conservation Fee: Real Per Capita </a:t>
            </a:r>
          </a:p>
        </c:rich>
      </c:tx>
      <c:layout>
        <c:manualLayout>
          <c:xMode val="edge"/>
          <c:yMode val="edge"/>
          <c:x val="0.2386044947506562"/>
          <c:y val="3.0092666988055072E-2"/>
        </c:manualLayout>
      </c:layout>
      <c:overlay val="0"/>
      <c:spPr>
        <a:noFill/>
        <a:ln w="25400">
          <a:noFill/>
        </a:ln>
      </c:spPr>
    </c:title>
    <c:autoTitleDeleted val="0"/>
    <c:plotArea>
      <c:layout>
        <c:manualLayout>
          <c:layoutTarget val="inner"/>
          <c:xMode val="edge"/>
          <c:yMode val="edge"/>
          <c:x val="0.15175721784777157"/>
          <c:y val="0.13838096284010609"/>
          <c:w val="0.78496538713910768"/>
          <c:h val="0.67212013696088413"/>
        </c:manualLayout>
      </c:layout>
      <c:areaChart>
        <c:grouping val="stacked"/>
        <c:varyColors val="0"/>
        <c:ser>
          <c:idx val="0"/>
          <c:order val="0"/>
          <c:tx>
            <c:v>Real Per Capita</c:v>
          </c:tx>
          <c:spPr>
            <a:ln>
              <a:solidFill>
                <a:srgbClr val="000000"/>
              </a:solidFill>
            </a:ln>
          </c:spPr>
          <c:cat>
            <c:numRef>
              <c:f>'Oil &amp; Gas Conservation Fee'!$A$4:$A$47</c:f>
              <c:numCache>
                <c:formatCode>General</c:formatCode>
                <c:ptCount val="44"/>
                <c:pt idx="0">
                  <c:v>1982</c:v>
                </c:pt>
                <c:pt idx="1">
                  <c:v>1983</c:v>
                </c:pt>
                <c:pt idx="2">
                  <c:v>1984</c:v>
                </c:pt>
                <c:pt idx="3">
                  <c:v>1985</c:v>
                </c:pt>
                <c:pt idx="4">
                  <c:v>1986</c:v>
                </c:pt>
                <c:pt idx="5">
                  <c:v>1987</c:v>
                </c:pt>
                <c:pt idx="6">
                  <c:v>1988</c:v>
                </c:pt>
                <c:pt idx="7">
                  <c:v>1989</c:v>
                </c:pt>
                <c:pt idx="8">
                  <c:v>1990</c:v>
                </c:pt>
                <c:pt idx="9">
                  <c:v>1991</c:v>
                </c:pt>
                <c:pt idx="10">
                  <c:v>1992</c:v>
                </c:pt>
                <c:pt idx="11">
                  <c:v>1993</c:v>
                </c:pt>
                <c:pt idx="12">
                  <c:v>1994</c:v>
                </c:pt>
                <c:pt idx="13">
                  <c:v>1995</c:v>
                </c:pt>
                <c:pt idx="14">
                  <c:v>1996</c:v>
                </c:pt>
                <c:pt idx="15">
                  <c:v>1997</c:v>
                </c:pt>
                <c:pt idx="16">
                  <c:v>1998</c:v>
                </c:pt>
                <c:pt idx="17">
                  <c:v>1999</c:v>
                </c:pt>
                <c:pt idx="18">
                  <c:v>2000</c:v>
                </c:pt>
                <c:pt idx="19">
                  <c:v>2001</c:v>
                </c:pt>
                <c:pt idx="20">
                  <c:v>2002</c:v>
                </c:pt>
                <c:pt idx="21">
                  <c:v>2003</c:v>
                </c:pt>
                <c:pt idx="22">
                  <c:v>2004</c:v>
                </c:pt>
                <c:pt idx="23">
                  <c:v>2005</c:v>
                </c:pt>
                <c:pt idx="24">
                  <c:v>2006</c:v>
                </c:pt>
                <c:pt idx="25">
                  <c:v>2007</c:v>
                </c:pt>
                <c:pt idx="26">
                  <c:v>2008</c:v>
                </c:pt>
                <c:pt idx="27">
                  <c:v>2009</c:v>
                </c:pt>
                <c:pt idx="28">
                  <c:v>2010</c:v>
                </c:pt>
                <c:pt idx="29">
                  <c:v>2011</c:v>
                </c:pt>
                <c:pt idx="30">
                  <c:v>2012</c:v>
                </c:pt>
                <c:pt idx="31">
                  <c:v>2013</c:v>
                </c:pt>
                <c:pt idx="32">
                  <c:v>2014</c:v>
                </c:pt>
                <c:pt idx="33">
                  <c:v>2015</c:v>
                </c:pt>
                <c:pt idx="34">
                  <c:v>2016</c:v>
                </c:pt>
                <c:pt idx="35">
                  <c:v>2017</c:v>
                </c:pt>
                <c:pt idx="36">
                  <c:v>2018</c:v>
                </c:pt>
                <c:pt idx="37">
                  <c:v>2019</c:v>
                </c:pt>
                <c:pt idx="38">
                  <c:v>2020</c:v>
                </c:pt>
                <c:pt idx="39">
                  <c:v>2021</c:v>
                </c:pt>
                <c:pt idx="40">
                  <c:v>2022</c:v>
                </c:pt>
                <c:pt idx="41">
                  <c:v>2023</c:v>
                </c:pt>
                <c:pt idx="42">
                  <c:v>2024</c:v>
                </c:pt>
                <c:pt idx="43">
                  <c:v>2025</c:v>
                </c:pt>
              </c:numCache>
            </c:numRef>
          </c:cat>
          <c:val>
            <c:numRef>
              <c:f>'Oil &amp; Gas Conservation Fee'!$D$4:$D$47</c:f>
              <c:numCache>
                <c:formatCode>0.00</c:formatCode>
                <c:ptCount val="44"/>
                <c:pt idx="0">
                  <c:v>1.1744476757906814</c:v>
                </c:pt>
                <c:pt idx="1">
                  <c:v>1.1513046485796192</c:v>
                </c:pt>
                <c:pt idx="2">
                  <c:v>1.3679105135274643</c:v>
                </c:pt>
                <c:pt idx="3">
                  <c:v>1.4675889389043102</c:v>
                </c:pt>
                <c:pt idx="4">
                  <c:v>1.3086355994904597</c:v>
                </c:pt>
                <c:pt idx="5">
                  <c:v>0.67643944414939161</c:v>
                </c:pt>
                <c:pt idx="6">
                  <c:v>0.95760326260303197</c:v>
                </c:pt>
                <c:pt idx="7">
                  <c:v>0.53255938417522397</c:v>
                </c:pt>
                <c:pt idx="8">
                  <c:v>0.71627462844609158</c:v>
                </c:pt>
                <c:pt idx="9">
                  <c:v>0.63750418046272295</c:v>
                </c:pt>
                <c:pt idx="10">
                  <c:v>0.45965175974022565</c:v>
                </c:pt>
                <c:pt idx="11">
                  <c:v>0.41772087819881348</c:v>
                </c:pt>
                <c:pt idx="12">
                  <c:v>0.36192689680162876</c:v>
                </c:pt>
                <c:pt idx="13">
                  <c:v>0.33750548478431386</c:v>
                </c:pt>
                <c:pt idx="14">
                  <c:v>0.35395608778187798</c:v>
                </c:pt>
                <c:pt idx="15">
                  <c:v>0.42345595542121134</c:v>
                </c:pt>
                <c:pt idx="16">
                  <c:v>0.35069089144000293</c:v>
                </c:pt>
                <c:pt idx="17">
                  <c:v>0.30058293712916878</c:v>
                </c:pt>
                <c:pt idx="18">
                  <c:v>0.3295962194721328</c:v>
                </c:pt>
                <c:pt idx="19">
                  <c:v>0.71045013074771479</c:v>
                </c:pt>
                <c:pt idx="20">
                  <c:v>0.42157753787695168</c:v>
                </c:pt>
                <c:pt idx="21">
                  <c:v>0.46335539047432928</c:v>
                </c:pt>
                <c:pt idx="22">
                  <c:v>0.61765192929424473</c:v>
                </c:pt>
                <c:pt idx="23">
                  <c:v>0.7911581948303481</c:v>
                </c:pt>
                <c:pt idx="24">
                  <c:v>1.1361973214022925</c:v>
                </c:pt>
                <c:pt idx="25">
                  <c:v>0.91416589691539241</c:v>
                </c:pt>
                <c:pt idx="26">
                  <c:v>0.9896158362449532</c:v>
                </c:pt>
                <c:pt idx="27">
                  <c:v>1.1796880685387201</c:v>
                </c:pt>
                <c:pt idx="28">
                  <c:v>0.7151691207875025</c:v>
                </c:pt>
                <c:pt idx="29">
                  <c:v>0.95676110543317139</c:v>
                </c:pt>
                <c:pt idx="30">
                  <c:v>1.0133853102372621</c:v>
                </c:pt>
                <c:pt idx="31">
                  <c:v>0.8917189130386155</c:v>
                </c:pt>
                <c:pt idx="32">
                  <c:v>1.1553450198147281</c:v>
                </c:pt>
                <c:pt idx="33">
                  <c:v>0.96436144967953052</c:v>
                </c:pt>
                <c:pt idx="34">
                  <c:v>0.43841385360377072</c:v>
                </c:pt>
                <c:pt idx="35">
                  <c:v>0.45413675184864144</c:v>
                </c:pt>
                <c:pt idx="36">
                  <c:v>0.45306221109057604</c:v>
                </c:pt>
                <c:pt idx="37">
                  <c:v>0.5672216125887366</c:v>
                </c:pt>
                <c:pt idx="38">
                  <c:v>0.44350247646516427</c:v>
                </c:pt>
                <c:pt idx="39">
                  <c:v>0.31220193000859287</c:v>
                </c:pt>
                <c:pt idx="40">
                  <c:v>0.68263496617169073</c:v>
                </c:pt>
                <c:pt idx="41">
                  <c:v>1.0429554477363203</c:v>
                </c:pt>
                <c:pt idx="42">
                  <c:v>0.73727847140591585</c:v>
                </c:pt>
                <c:pt idx="43">
                  <c:v>0.7115093062680482</c:v>
                </c:pt>
              </c:numCache>
            </c:numRef>
          </c:val>
          <c:extLst>
            <c:ext xmlns:c16="http://schemas.microsoft.com/office/drawing/2014/chart" uri="{C3380CC4-5D6E-409C-BE32-E72D297353CC}">
              <c16:uniqueId val="{00000000-E206-4393-BAB0-D6BDA28F73F6}"/>
            </c:ext>
          </c:extLst>
        </c:ser>
        <c:dLbls>
          <c:showLegendKey val="0"/>
          <c:showVal val="0"/>
          <c:showCatName val="0"/>
          <c:showSerName val="0"/>
          <c:showPercent val="0"/>
          <c:showBubbleSize val="0"/>
        </c:dLbls>
        <c:axId val="58493568"/>
        <c:axId val="58516224"/>
      </c:areaChart>
      <c:catAx>
        <c:axId val="58493568"/>
        <c:scaling>
          <c:orientation val="minMax"/>
        </c:scaling>
        <c:delete val="0"/>
        <c:axPos val="b"/>
        <c:title>
          <c:tx>
            <c:rich>
              <a:bodyPr/>
              <a:lstStyle/>
              <a:p>
                <a:pPr>
                  <a:defRPr sz="1200" b="1" i="0" u="none" strike="noStrike" baseline="0">
                    <a:solidFill>
                      <a:srgbClr val="000000"/>
                    </a:solidFill>
                    <a:latin typeface="Times New Roman"/>
                    <a:ea typeface="Times New Roman"/>
                    <a:cs typeface="Times New Roman"/>
                  </a:defRPr>
                </a:pPr>
                <a:r>
                  <a:rPr lang="en-US"/>
                  <a:t>Fiscal Year</a:t>
                </a:r>
              </a:p>
            </c:rich>
          </c:tx>
          <c:layout>
            <c:manualLayout>
              <c:xMode val="edge"/>
              <c:yMode val="edge"/>
              <c:x val="0.49160113201811928"/>
              <c:y val="0.91939942734431579"/>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Times New Roman"/>
                <a:ea typeface="Times New Roman"/>
                <a:cs typeface="Times New Roman"/>
              </a:defRPr>
            </a:pPr>
            <a:endParaRPr lang="en-US"/>
          </a:p>
        </c:txPr>
        <c:crossAx val="58516224"/>
        <c:crosses val="autoZero"/>
        <c:auto val="0"/>
        <c:lblAlgn val="ctr"/>
        <c:lblOffset val="100"/>
        <c:tickLblSkip val="2"/>
        <c:tickMarkSkip val="1"/>
        <c:noMultiLvlLbl val="0"/>
      </c:catAx>
      <c:valAx>
        <c:axId val="58516224"/>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Times New Roman"/>
                    <a:ea typeface="Times New Roman"/>
                    <a:cs typeface="Times New Roman"/>
                  </a:defRPr>
                </a:pPr>
                <a:r>
                  <a:rPr lang="en-US"/>
                  <a:t>Real Dollars Per Capita</a:t>
                </a:r>
              </a:p>
            </c:rich>
          </c:tx>
          <c:layout>
            <c:manualLayout>
              <c:xMode val="edge"/>
              <c:yMode val="edge"/>
              <c:x val="3.2985759409181831E-2"/>
              <c:y val="0.37244046766881989"/>
            </c:manualLayout>
          </c:layout>
          <c:overlay val="0"/>
          <c:spPr>
            <a:noFill/>
            <a:ln w="25400">
              <a:noFill/>
            </a:ln>
          </c:spPr>
        </c:title>
        <c:numFmt formatCode="&quot;$&quot;#,##0.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en-US"/>
          </a:p>
        </c:txPr>
        <c:crossAx val="58493568"/>
        <c:crosses val="autoZero"/>
        <c:crossBetween val="midCat"/>
      </c:valAx>
      <c:spPr>
        <a:noFill/>
        <a:ln w="3175">
          <a:solidFill>
            <a:srgbClr val="00000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&amp;L&amp;"Times New Roman,Regular"&amp;8Real numbers are based on using the CPI and population of the previous year.
The CPI base period for real numbers: 1982 to 1984 = 100.&amp;R&amp;"Times New Roman,Regular"&amp;8Economic and Statistical Unit
Utah State Tax Commission</c:oddFooter>
    </c:headerFooter>
    <c:pageMargins b="1" l="0.75000000000000655" r="0.75000000000000655" t="1" header="0.5" footer="0.5"/>
    <c:pageSetup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b="1" i="0" u="none" strike="noStrike" baseline="0">
                <a:solidFill>
                  <a:srgbClr val="000000"/>
                </a:solidFill>
                <a:latin typeface="Times New Roman"/>
                <a:ea typeface="Times New Roman"/>
                <a:cs typeface="Times New Roman"/>
              </a:defRPr>
            </a:pPr>
            <a:r>
              <a:rPr lang="en-US"/>
              <a:t>Metal Mining Severance Tax: Real Per Capita</a:t>
            </a:r>
          </a:p>
        </c:rich>
      </c:tx>
      <c:layout>
        <c:manualLayout>
          <c:xMode val="edge"/>
          <c:yMode val="edge"/>
          <c:x val="0.21166001451618663"/>
          <c:y val="3.0092561465394772E-2"/>
        </c:manualLayout>
      </c:layout>
      <c:overlay val="0"/>
      <c:spPr>
        <a:noFill/>
        <a:ln w="25400">
          <a:noFill/>
        </a:ln>
      </c:spPr>
    </c:title>
    <c:autoTitleDeleted val="0"/>
    <c:plotArea>
      <c:layout>
        <c:manualLayout>
          <c:layoutTarget val="inner"/>
          <c:xMode val="edge"/>
          <c:yMode val="edge"/>
          <c:x val="0.15175721784777227"/>
          <c:y val="0.13838096284010609"/>
          <c:w val="0.78496538713910768"/>
          <c:h val="0.6721201369608879"/>
        </c:manualLayout>
      </c:layout>
      <c:areaChart>
        <c:grouping val="stacked"/>
        <c:varyColors val="0"/>
        <c:ser>
          <c:idx val="0"/>
          <c:order val="0"/>
          <c:spPr>
            <a:ln>
              <a:solidFill>
                <a:srgbClr val="000000"/>
              </a:solidFill>
            </a:ln>
          </c:spPr>
          <c:cat>
            <c:numRef>
              <c:f>'Mining, Oil &amp; Gas Severance'!$A$31:$A$92</c:f>
              <c:numCache>
                <c:formatCode>General</c:formatCode>
                <c:ptCount val="62"/>
                <c:pt idx="0">
                  <c:v>1964</c:v>
                </c:pt>
                <c:pt idx="1">
                  <c:v>1965</c:v>
                </c:pt>
                <c:pt idx="2">
                  <c:v>1966</c:v>
                </c:pt>
                <c:pt idx="3">
                  <c:v>1967</c:v>
                </c:pt>
                <c:pt idx="4">
                  <c:v>1968</c:v>
                </c:pt>
                <c:pt idx="5">
                  <c:v>1969</c:v>
                </c:pt>
                <c:pt idx="6">
                  <c:v>1970</c:v>
                </c:pt>
                <c:pt idx="7">
                  <c:v>1971</c:v>
                </c:pt>
                <c:pt idx="8">
                  <c:v>1972</c:v>
                </c:pt>
                <c:pt idx="9">
                  <c:v>1973</c:v>
                </c:pt>
                <c:pt idx="10">
                  <c:v>1974</c:v>
                </c:pt>
                <c:pt idx="11">
                  <c:v>1975</c:v>
                </c:pt>
                <c:pt idx="12">
                  <c:v>1976</c:v>
                </c:pt>
                <c:pt idx="13">
                  <c:v>1977</c:v>
                </c:pt>
                <c:pt idx="14">
                  <c:v>1978</c:v>
                </c:pt>
                <c:pt idx="15">
                  <c:v>1979</c:v>
                </c:pt>
                <c:pt idx="16">
                  <c:v>1980</c:v>
                </c:pt>
                <c:pt idx="17">
                  <c:v>1981</c:v>
                </c:pt>
                <c:pt idx="18">
                  <c:v>1982</c:v>
                </c:pt>
                <c:pt idx="19">
                  <c:v>1983</c:v>
                </c:pt>
                <c:pt idx="20">
                  <c:v>1984</c:v>
                </c:pt>
                <c:pt idx="21">
                  <c:v>1985</c:v>
                </c:pt>
                <c:pt idx="22">
                  <c:v>1986</c:v>
                </c:pt>
                <c:pt idx="23">
                  <c:v>1987</c:v>
                </c:pt>
                <c:pt idx="24">
                  <c:v>1988</c:v>
                </c:pt>
                <c:pt idx="25">
                  <c:v>1989</c:v>
                </c:pt>
                <c:pt idx="26">
                  <c:v>1990</c:v>
                </c:pt>
                <c:pt idx="27">
                  <c:v>1991</c:v>
                </c:pt>
                <c:pt idx="28">
                  <c:v>1992</c:v>
                </c:pt>
                <c:pt idx="29">
                  <c:v>1993</c:v>
                </c:pt>
                <c:pt idx="30">
                  <c:v>1994</c:v>
                </c:pt>
                <c:pt idx="31">
                  <c:v>1995</c:v>
                </c:pt>
                <c:pt idx="32">
                  <c:v>1996</c:v>
                </c:pt>
                <c:pt idx="33">
                  <c:v>1997</c:v>
                </c:pt>
                <c:pt idx="34">
                  <c:v>1998</c:v>
                </c:pt>
                <c:pt idx="35">
                  <c:v>1999</c:v>
                </c:pt>
                <c:pt idx="36">
                  <c:v>2000</c:v>
                </c:pt>
                <c:pt idx="37">
                  <c:v>2001</c:v>
                </c:pt>
                <c:pt idx="38">
                  <c:v>2002</c:v>
                </c:pt>
                <c:pt idx="39">
                  <c:v>2003</c:v>
                </c:pt>
                <c:pt idx="40">
                  <c:v>2004</c:v>
                </c:pt>
                <c:pt idx="41">
                  <c:v>2005</c:v>
                </c:pt>
                <c:pt idx="42">
                  <c:v>2006</c:v>
                </c:pt>
                <c:pt idx="43">
                  <c:v>2007</c:v>
                </c:pt>
                <c:pt idx="44">
                  <c:v>2008</c:v>
                </c:pt>
                <c:pt idx="45">
                  <c:v>2009</c:v>
                </c:pt>
                <c:pt idx="46">
                  <c:v>2010</c:v>
                </c:pt>
                <c:pt idx="47">
                  <c:v>2011</c:v>
                </c:pt>
                <c:pt idx="48">
                  <c:v>2012</c:v>
                </c:pt>
                <c:pt idx="49">
                  <c:v>2013</c:v>
                </c:pt>
                <c:pt idx="50">
                  <c:v>2014</c:v>
                </c:pt>
                <c:pt idx="51">
                  <c:v>2015</c:v>
                </c:pt>
                <c:pt idx="52">
                  <c:v>2016</c:v>
                </c:pt>
                <c:pt idx="53">
                  <c:v>2017</c:v>
                </c:pt>
                <c:pt idx="54">
                  <c:v>2018</c:v>
                </c:pt>
                <c:pt idx="55">
                  <c:v>2019</c:v>
                </c:pt>
                <c:pt idx="56">
                  <c:v>2020</c:v>
                </c:pt>
                <c:pt idx="57">
                  <c:v>2021</c:v>
                </c:pt>
                <c:pt idx="58">
                  <c:v>2022</c:v>
                </c:pt>
                <c:pt idx="59">
                  <c:v>2023</c:v>
                </c:pt>
                <c:pt idx="60">
                  <c:v>2024</c:v>
                </c:pt>
                <c:pt idx="61">
                  <c:v>2025</c:v>
                </c:pt>
              </c:numCache>
            </c:numRef>
          </c:cat>
          <c:val>
            <c:numRef>
              <c:f>'Mining, Oil &amp; Gas Severance'!$I$31:$I$92</c:f>
              <c:numCache>
                <c:formatCode>0.00</c:formatCode>
                <c:ptCount val="62"/>
                <c:pt idx="0">
                  <c:v>5.4164754197366838</c:v>
                </c:pt>
                <c:pt idx="1">
                  <c:v>5.7246619170129955</c:v>
                </c:pt>
                <c:pt idx="2">
                  <c:v>6.8616821232361094</c:v>
                </c:pt>
                <c:pt idx="3">
                  <c:v>6.3815475534999813</c:v>
                </c:pt>
                <c:pt idx="4">
                  <c:v>4.4907711564114168</c:v>
                </c:pt>
                <c:pt idx="5">
                  <c:v>4.9760005808563168</c:v>
                </c:pt>
                <c:pt idx="6">
                  <c:v>7.8141101213015505</c:v>
                </c:pt>
                <c:pt idx="7">
                  <c:v>8.1677409527862128</c:v>
                </c:pt>
                <c:pt idx="8">
                  <c:v>5.7149926872186931</c:v>
                </c:pt>
                <c:pt idx="9">
                  <c:v>5.0221446248228032</c:v>
                </c:pt>
                <c:pt idx="10">
                  <c:v>5.5334116356829046</c:v>
                </c:pt>
                <c:pt idx="11">
                  <c:v>5.2290037042255904</c:v>
                </c:pt>
                <c:pt idx="12">
                  <c:v>3.7617570064512709</c:v>
                </c:pt>
                <c:pt idx="13">
                  <c:v>2.7059610474740521</c:v>
                </c:pt>
                <c:pt idx="14">
                  <c:v>2.8931338363518333</c:v>
                </c:pt>
                <c:pt idx="15">
                  <c:v>3.300537020687949</c:v>
                </c:pt>
                <c:pt idx="16">
                  <c:v>3.6089058957098081</c:v>
                </c:pt>
                <c:pt idx="17">
                  <c:v>3.4315851786961042</c:v>
                </c:pt>
                <c:pt idx="18">
                  <c:v>3.0590523078710512</c:v>
                </c:pt>
                <c:pt idx="19">
                  <c:v>1.5524041051700399</c:v>
                </c:pt>
                <c:pt idx="20">
                  <c:v>2.2995153025896693</c:v>
                </c:pt>
                <c:pt idx="21">
                  <c:v>0.45180025847674354</c:v>
                </c:pt>
                <c:pt idx="22">
                  <c:v>0.57895894942382586</c:v>
                </c:pt>
                <c:pt idx="23">
                  <c:v>0.48697773788466014</c:v>
                </c:pt>
                <c:pt idx="24">
                  <c:v>1.911300340781279</c:v>
                </c:pt>
                <c:pt idx="25">
                  <c:v>2.4686785676772018</c:v>
                </c:pt>
                <c:pt idx="26">
                  <c:v>2.5475139923609271</c:v>
                </c:pt>
                <c:pt idx="27">
                  <c:v>3.2089398690236273</c:v>
                </c:pt>
                <c:pt idx="28">
                  <c:v>2.6441093274487009</c:v>
                </c:pt>
                <c:pt idx="29">
                  <c:v>2.7290050427006789</c:v>
                </c:pt>
                <c:pt idx="30">
                  <c:v>2.2403251580165042</c:v>
                </c:pt>
                <c:pt idx="31">
                  <c:v>2.918254678157342</c:v>
                </c:pt>
                <c:pt idx="32">
                  <c:v>2.7260233205141375</c:v>
                </c:pt>
                <c:pt idx="33">
                  <c:v>2.0476482101748261</c:v>
                </c:pt>
                <c:pt idx="34">
                  <c:v>2.6768105925149337</c:v>
                </c:pt>
                <c:pt idx="35">
                  <c:v>1.4642975558207409</c:v>
                </c:pt>
                <c:pt idx="36">
                  <c:v>1.559575574267821</c:v>
                </c:pt>
                <c:pt idx="37">
                  <c:v>1.60368247867293</c:v>
                </c:pt>
                <c:pt idx="38">
                  <c:v>1.2208160220039672</c:v>
                </c:pt>
                <c:pt idx="39">
                  <c:v>1.3907028886265229</c:v>
                </c:pt>
                <c:pt idx="40">
                  <c:v>1.3805357327625023</c:v>
                </c:pt>
                <c:pt idx="41">
                  <c:v>2.4936177111629654</c:v>
                </c:pt>
                <c:pt idx="42">
                  <c:v>3.4824492476777231</c:v>
                </c:pt>
                <c:pt idx="43">
                  <c:v>4.5448525162843065</c:v>
                </c:pt>
                <c:pt idx="44">
                  <c:v>4.8570751281251647</c:v>
                </c:pt>
                <c:pt idx="45">
                  <c:v>2.5152795972195272</c:v>
                </c:pt>
                <c:pt idx="46">
                  <c:v>3.5605200357652653</c:v>
                </c:pt>
                <c:pt idx="47">
                  <c:v>4.4853537933275565</c:v>
                </c:pt>
                <c:pt idx="48">
                  <c:v>4.0014615511161287</c:v>
                </c:pt>
                <c:pt idx="49">
                  <c:v>2.5732838199854005</c:v>
                </c:pt>
                <c:pt idx="50">
                  <c:v>2.341405212500614</c:v>
                </c:pt>
                <c:pt idx="51">
                  <c:v>2.3430699284979202</c:v>
                </c:pt>
                <c:pt idx="52">
                  <c:v>0.9799904765964409</c:v>
                </c:pt>
                <c:pt idx="53">
                  <c:v>1.2417321766913916</c:v>
                </c:pt>
                <c:pt idx="54">
                  <c:v>1.3272055299867009</c:v>
                </c:pt>
                <c:pt idx="55">
                  <c:v>1.6776294063566959</c:v>
                </c:pt>
                <c:pt idx="56">
                  <c:v>1.7369087538290788</c:v>
                </c:pt>
                <c:pt idx="57">
                  <c:v>1.5730672695113528</c:v>
                </c:pt>
                <c:pt idx="58">
                  <c:v>1.7134890226789556</c:v>
                </c:pt>
                <c:pt idx="59">
                  <c:v>1.4302302551478852</c:v>
                </c:pt>
                <c:pt idx="60">
                  <c:v>1.1125906250449165</c:v>
                </c:pt>
                <c:pt idx="61">
                  <c:v>1.8945492188842448</c:v>
                </c:pt>
              </c:numCache>
            </c:numRef>
          </c:val>
          <c:extLst>
            <c:ext xmlns:c16="http://schemas.microsoft.com/office/drawing/2014/chart" uri="{C3380CC4-5D6E-409C-BE32-E72D297353CC}">
              <c16:uniqueId val="{00000000-34EC-4907-93F2-0DBB413C7098}"/>
            </c:ext>
          </c:extLst>
        </c:ser>
        <c:dLbls>
          <c:showLegendKey val="0"/>
          <c:showVal val="0"/>
          <c:showCatName val="0"/>
          <c:showSerName val="0"/>
          <c:showPercent val="0"/>
          <c:showBubbleSize val="0"/>
        </c:dLbls>
        <c:axId val="58729216"/>
        <c:axId val="58731136"/>
      </c:areaChart>
      <c:catAx>
        <c:axId val="58729216"/>
        <c:scaling>
          <c:orientation val="minMax"/>
        </c:scaling>
        <c:delete val="0"/>
        <c:axPos val="b"/>
        <c:title>
          <c:tx>
            <c:rich>
              <a:bodyPr/>
              <a:lstStyle/>
              <a:p>
                <a:pPr>
                  <a:defRPr sz="1200" b="1" i="0" u="none" strike="noStrike" baseline="0">
                    <a:solidFill>
                      <a:srgbClr val="000000"/>
                    </a:solidFill>
                    <a:latin typeface="Times New Roman"/>
                    <a:ea typeface="Times New Roman"/>
                    <a:cs typeface="Times New Roman"/>
                  </a:defRPr>
                </a:pPr>
                <a:r>
                  <a:rPr lang="en-US"/>
                  <a:t>Fiscal Year</a:t>
                </a:r>
              </a:p>
            </c:rich>
          </c:tx>
          <c:layout>
            <c:manualLayout>
              <c:xMode val="edge"/>
              <c:yMode val="edge"/>
              <c:x val="0.49160113201811845"/>
              <c:y val="0.91939942734431757"/>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Times New Roman"/>
                <a:ea typeface="Times New Roman"/>
                <a:cs typeface="Times New Roman"/>
              </a:defRPr>
            </a:pPr>
            <a:endParaRPr lang="en-US"/>
          </a:p>
        </c:txPr>
        <c:crossAx val="58731136"/>
        <c:crosses val="autoZero"/>
        <c:auto val="0"/>
        <c:lblAlgn val="ctr"/>
        <c:lblOffset val="100"/>
        <c:tickMarkSkip val="1"/>
        <c:noMultiLvlLbl val="0"/>
      </c:catAx>
      <c:valAx>
        <c:axId val="58731136"/>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Times New Roman"/>
                    <a:ea typeface="Times New Roman"/>
                    <a:cs typeface="Times New Roman"/>
                  </a:defRPr>
                </a:pPr>
                <a:r>
                  <a:rPr lang="en-US"/>
                  <a:t>Real Dollars</a:t>
                </a:r>
              </a:p>
            </c:rich>
          </c:tx>
          <c:layout>
            <c:manualLayout>
              <c:xMode val="edge"/>
              <c:yMode val="edge"/>
              <c:x val="3.2985759409181831E-2"/>
              <c:y val="0.37244046766882144"/>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en-US"/>
          </a:p>
        </c:txPr>
        <c:crossAx val="58729216"/>
        <c:crosses val="autoZero"/>
        <c:crossBetween val="midCat"/>
      </c:valAx>
      <c:spPr>
        <a:noFill/>
        <a:ln w="3175">
          <a:solidFill>
            <a:srgbClr val="00000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&amp;L&amp;"Times New Roman,Regular"&amp;8Real numbers are based on using the CPI and population of the previous year.
The CPI base period for real numbers: 1982 to 1984 = 100.&amp;R&amp;"Times New Roman,Regular"&amp;8Economic and Statistical Unit
Utah State Tax Commission</c:oddFooter>
    </c:headerFooter>
    <c:pageMargins b="1" l="0.75000000000000822" r="0.75000000000000822" t="1" header="0.5" footer="0.5"/>
    <c:pageSetup orientation="landscape" horizontalDpi="300" verticalDpi="30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nchor="b" anchorCtr="0"/>
          <a:lstStyle/>
          <a:p>
            <a:pPr>
              <a:defRPr sz="1400" b="1" i="0" u="none" strike="noStrike" baseline="0">
                <a:solidFill>
                  <a:srgbClr val="000000"/>
                </a:solidFill>
                <a:latin typeface="Times New Roman"/>
                <a:ea typeface="Times New Roman"/>
                <a:cs typeface="Times New Roman"/>
              </a:defRPr>
            </a:pPr>
            <a:r>
              <a:rPr lang="en-US"/>
              <a:t>Metal Mining Severance Tax: Collections</a:t>
            </a:r>
          </a:p>
        </c:rich>
      </c:tx>
      <c:layout>
        <c:manualLayout>
          <c:xMode val="edge"/>
          <c:yMode val="edge"/>
          <c:x val="0.22904401843055511"/>
          <c:y val="2.827740049993412E-2"/>
        </c:manualLayout>
      </c:layout>
      <c:overlay val="0"/>
      <c:spPr>
        <a:noFill/>
        <a:ln w="25400">
          <a:noFill/>
        </a:ln>
      </c:spPr>
    </c:title>
    <c:autoTitleDeleted val="0"/>
    <c:plotArea>
      <c:layout>
        <c:manualLayout>
          <c:layoutTarget val="inner"/>
          <c:xMode val="edge"/>
          <c:yMode val="edge"/>
          <c:x val="0.18866146358990743"/>
          <c:y val="0.13438007805788066"/>
          <c:w val="0.75705792526831661"/>
          <c:h val="0.6752705837492422"/>
        </c:manualLayout>
      </c:layout>
      <c:areaChart>
        <c:grouping val="standard"/>
        <c:varyColors val="0"/>
        <c:ser>
          <c:idx val="0"/>
          <c:order val="0"/>
          <c:tx>
            <c:strRef>
              <c:f>'Mining, Oil &amp; Gas Severance'!$G$4</c:f>
              <c:strCache>
                <c:ptCount val="1"/>
                <c:pt idx="0">
                  <c:v>Total Mining Severance Tax Collections</c:v>
                </c:pt>
              </c:strCache>
            </c:strRef>
          </c:tx>
          <c:spPr>
            <a:solidFill>
              <a:srgbClr val="969696"/>
            </a:solidFill>
            <a:ln w="12700">
              <a:solidFill>
                <a:srgbClr val="000000"/>
              </a:solidFill>
              <a:prstDash val="solid"/>
            </a:ln>
          </c:spPr>
          <c:cat>
            <c:numRef>
              <c:f>'Mining, Oil &amp; Gas Severance'!$A$31:$A$92</c:f>
              <c:numCache>
                <c:formatCode>General</c:formatCode>
                <c:ptCount val="62"/>
                <c:pt idx="0">
                  <c:v>1964</c:v>
                </c:pt>
                <c:pt idx="1">
                  <c:v>1965</c:v>
                </c:pt>
                <c:pt idx="2">
                  <c:v>1966</c:v>
                </c:pt>
                <c:pt idx="3">
                  <c:v>1967</c:v>
                </c:pt>
                <c:pt idx="4">
                  <c:v>1968</c:v>
                </c:pt>
                <c:pt idx="5">
                  <c:v>1969</c:v>
                </c:pt>
                <c:pt idx="6">
                  <c:v>1970</c:v>
                </c:pt>
                <c:pt idx="7">
                  <c:v>1971</c:v>
                </c:pt>
                <c:pt idx="8">
                  <c:v>1972</c:v>
                </c:pt>
                <c:pt idx="9">
                  <c:v>1973</c:v>
                </c:pt>
                <c:pt idx="10">
                  <c:v>1974</c:v>
                </c:pt>
                <c:pt idx="11">
                  <c:v>1975</c:v>
                </c:pt>
                <c:pt idx="12">
                  <c:v>1976</c:v>
                </c:pt>
                <c:pt idx="13">
                  <c:v>1977</c:v>
                </c:pt>
                <c:pt idx="14">
                  <c:v>1978</c:v>
                </c:pt>
                <c:pt idx="15">
                  <c:v>1979</c:v>
                </c:pt>
                <c:pt idx="16">
                  <c:v>1980</c:v>
                </c:pt>
                <c:pt idx="17">
                  <c:v>1981</c:v>
                </c:pt>
                <c:pt idx="18">
                  <c:v>1982</c:v>
                </c:pt>
                <c:pt idx="19">
                  <c:v>1983</c:v>
                </c:pt>
                <c:pt idx="20">
                  <c:v>1984</c:v>
                </c:pt>
                <c:pt idx="21">
                  <c:v>1985</c:v>
                </c:pt>
                <c:pt idx="22">
                  <c:v>1986</c:v>
                </c:pt>
                <c:pt idx="23">
                  <c:v>1987</c:v>
                </c:pt>
                <c:pt idx="24">
                  <c:v>1988</c:v>
                </c:pt>
                <c:pt idx="25">
                  <c:v>1989</c:v>
                </c:pt>
                <c:pt idx="26">
                  <c:v>1990</c:v>
                </c:pt>
                <c:pt idx="27">
                  <c:v>1991</c:v>
                </c:pt>
                <c:pt idx="28">
                  <c:v>1992</c:v>
                </c:pt>
                <c:pt idx="29">
                  <c:v>1993</c:v>
                </c:pt>
                <c:pt idx="30">
                  <c:v>1994</c:v>
                </c:pt>
                <c:pt idx="31">
                  <c:v>1995</c:v>
                </c:pt>
                <c:pt idx="32">
                  <c:v>1996</c:v>
                </c:pt>
                <c:pt idx="33">
                  <c:v>1997</c:v>
                </c:pt>
                <c:pt idx="34">
                  <c:v>1998</c:v>
                </c:pt>
                <c:pt idx="35">
                  <c:v>1999</c:v>
                </c:pt>
                <c:pt idx="36">
                  <c:v>2000</c:v>
                </c:pt>
                <c:pt idx="37">
                  <c:v>2001</c:v>
                </c:pt>
                <c:pt idx="38">
                  <c:v>2002</c:v>
                </c:pt>
                <c:pt idx="39">
                  <c:v>2003</c:v>
                </c:pt>
                <c:pt idx="40">
                  <c:v>2004</c:v>
                </c:pt>
                <c:pt idx="41">
                  <c:v>2005</c:v>
                </c:pt>
                <c:pt idx="42">
                  <c:v>2006</c:v>
                </c:pt>
                <c:pt idx="43">
                  <c:v>2007</c:v>
                </c:pt>
                <c:pt idx="44">
                  <c:v>2008</c:v>
                </c:pt>
                <c:pt idx="45">
                  <c:v>2009</c:v>
                </c:pt>
                <c:pt idx="46">
                  <c:v>2010</c:v>
                </c:pt>
                <c:pt idx="47">
                  <c:v>2011</c:v>
                </c:pt>
                <c:pt idx="48">
                  <c:v>2012</c:v>
                </c:pt>
                <c:pt idx="49">
                  <c:v>2013</c:v>
                </c:pt>
                <c:pt idx="50">
                  <c:v>2014</c:v>
                </c:pt>
                <c:pt idx="51">
                  <c:v>2015</c:v>
                </c:pt>
                <c:pt idx="52">
                  <c:v>2016</c:v>
                </c:pt>
                <c:pt idx="53">
                  <c:v>2017</c:v>
                </c:pt>
                <c:pt idx="54">
                  <c:v>2018</c:v>
                </c:pt>
                <c:pt idx="55">
                  <c:v>2019</c:v>
                </c:pt>
                <c:pt idx="56">
                  <c:v>2020</c:v>
                </c:pt>
                <c:pt idx="57">
                  <c:v>2021</c:v>
                </c:pt>
                <c:pt idx="58">
                  <c:v>2022</c:v>
                </c:pt>
                <c:pt idx="59">
                  <c:v>2023</c:v>
                </c:pt>
                <c:pt idx="60">
                  <c:v>2024</c:v>
                </c:pt>
                <c:pt idx="61">
                  <c:v>2025</c:v>
                </c:pt>
              </c:numCache>
            </c:numRef>
          </c:cat>
          <c:val>
            <c:numRef>
              <c:f>'Mining, Oil &amp; Gas Severance'!$G$31:$G$92</c:f>
              <c:numCache>
                <c:formatCode>#,##0</c:formatCode>
                <c:ptCount val="62"/>
                <c:pt idx="0">
                  <c:v>1614348</c:v>
                </c:pt>
                <c:pt idx="1">
                  <c:v>1735603</c:v>
                </c:pt>
                <c:pt idx="2">
                  <c:v>2141977</c:v>
                </c:pt>
                <c:pt idx="3">
                  <c:v>2086230</c:v>
                </c:pt>
                <c:pt idx="4">
                  <c:v>1528416</c:v>
                </c:pt>
                <c:pt idx="5">
                  <c:v>1781866</c:v>
                </c:pt>
                <c:pt idx="6">
                  <c:v>3002564</c:v>
                </c:pt>
                <c:pt idx="7">
                  <c:v>3378243</c:v>
                </c:pt>
                <c:pt idx="8">
                  <c:v>2548691</c:v>
                </c:pt>
                <c:pt idx="9">
                  <c:v>2382866</c:v>
                </c:pt>
                <c:pt idx="10">
                  <c:v>2871917</c:v>
                </c:pt>
                <c:pt idx="11">
                  <c:v>3085616</c:v>
                </c:pt>
                <c:pt idx="12">
                  <c:v>2497198</c:v>
                </c:pt>
                <c:pt idx="13">
                  <c:v>1958565</c:v>
                </c:pt>
                <c:pt idx="14">
                  <c:v>2307175</c:v>
                </c:pt>
                <c:pt idx="15">
                  <c:v>2934722</c:v>
                </c:pt>
                <c:pt idx="16">
                  <c:v>3709882</c:v>
                </c:pt>
                <c:pt idx="17">
                  <c:v>4167921</c:v>
                </c:pt>
                <c:pt idx="18">
                  <c:v>4212728</c:v>
                </c:pt>
                <c:pt idx="19">
                  <c:v>2333993</c:v>
                </c:pt>
                <c:pt idx="20">
                  <c:v>3653056</c:v>
                </c:pt>
                <c:pt idx="21">
                  <c:v>761400</c:v>
                </c:pt>
                <c:pt idx="22">
                  <c:v>1023523</c:v>
                </c:pt>
                <c:pt idx="23">
                  <c:v>887589</c:v>
                </c:pt>
                <c:pt idx="24">
                  <c:v>3643336</c:v>
                </c:pt>
                <c:pt idx="25">
                  <c:v>4935555</c:v>
                </c:pt>
                <c:pt idx="26">
                  <c:v>5389113</c:v>
                </c:pt>
                <c:pt idx="27">
                  <c:v>7252524</c:v>
                </c:pt>
                <c:pt idx="28">
                  <c:v>6413406</c:v>
                </c:pt>
                <c:pt idx="29">
                  <c:v>7037894</c:v>
                </c:pt>
                <c:pt idx="30">
                  <c:v>6116475</c:v>
                </c:pt>
                <c:pt idx="31">
                  <c:v>8419283</c:v>
                </c:pt>
                <c:pt idx="32">
                  <c:v>8289094</c:v>
                </c:pt>
                <c:pt idx="33">
                  <c:v>6563325</c:v>
                </c:pt>
                <c:pt idx="34">
                  <c:v>9019651</c:v>
                </c:pt>
                <c:pt idx="35">
                  <c:v>5111658</c:v>
                </c:pt>
                <c:pt idx="36">
                  <c:v>5698005</c:v>
                </c:pt>
                <c:pt idx="37">
                  <c:v>6203714</c:v>
                </c:pt>
                <c:pt idx="38">
                  <c:v>4952500</c:v>
                </c:pt>
                <c:pt idx="39">
                  <c:v>5833936</c:v>
                </c:pt>
                <c:pt idx="40">
                  <c:v>6026484</c:v>
                </c:pt>
                <c:pt idx="41">
                  <c:v>11447429</c:v>
                </c:pt>
                <c:pt idx="42">
                  <c:v>17042798</c:v>
                </c:pt>
                <c:pt idx="43">
                  <c:v>23604499</c:v>
                </c:pt>
                <c:pt idx="44">
                  <c:v>26547270</c:v>
                </c:pt>
                <c:pt idx="45">
                  <c:v>14573697</c:v>
                </c:pt>
                <c:pt idx="46">
                  <c:v>20865384</c:v>
                </c:pt>
                <c:pt idx="47">
                  <c:v>27118296</c:v>
                </c:pt>
                <c:pt idx="48">
                  <c:v>25401211</c:v>
                </c:pt>
                <c:pt idx="49">
                  <c:v>16940927</c:v>
                </c:pt>
                <c:pt idx="50">
                  <c:v>15850801</c:v>
                </c:pt>
                <c:pt idx="51">
                  <c:v>16346625</c:v>
                </c:pt>
                <c:pt idx="52">
                  <c:v>6977039</c:v>
                </c:pt>
                <c:pt idx="53">
                  <c:v>9126671</c:v>
                </c:pt>
                <c:pt idx="54">
                  <c:v>10158167</c:v>
                </c:pt>
                <c:pt idx="55">
                  <c:v>13380800</c:v>
                </c:pt>
                <c:pt idx="56">
                  <c:v>14347857.119999999</c:v>
                </c:pt>
                <c:pt idx="57">
                  <c:v>13373405.049999999</c:v>
                </c:pt>
                <c:pt idx="58">
                  <c:v>15519535.130000001</c:v>
                </c:pt>
                <c:pt idx="59">
                  <c:v>14233242</c:v>
                </c:pt>
                <c:pt idx="60">
                  <c:v>11717772.5</c:v>
                </c:pt>
                <c:pt idx="61">
                  <c:v>20841111.93</c:v>
                </c:pt>
              </c:numCache>
            </c:numRef>
          </c:val>
          <c:extLst>
            <c:ext xmlns:c16="http://schemas.microsoft.com/office/drawing/2014/chart" uri="{C3380CC4-5D6E-409C-BE32-E72D297353CC}">
              <c16:uniqueId val="{00000000-BD3C-4604-8B7C-2651E5AA91A2}"/>
            </c:ext>
          </c:extLst>
        </c:ser>
        <c:dLbls>
          <c:showLegendKey val="0"/>
          <c:showVal val="0"/>
          <c:showCatName val="0"/>
          <c:showSerName val="0"/>
          <c:showPercent val="0"/>
          <c:showBubbleSize val="0"/>
        </c:dLbls>
        <c:axId val="58768384"/>
        <c:axId val="59442688"/>
      </c:areaChart>
      <c:lineChart>
        <c:grouping val="standard"/>
        <c:varyColors val="0"/>
        <c:ser>
          <c:idx val="1"/>
          <c:order val="1"/>
          <c:tx>
            <c:strRef>
              <c:f>'Mining, Oil &amp; Gas Severance'!$H$4:$H$4</c:f>
              <c:strCache>
                <c:ptCount val="1"/>
                <c:pt idx="0">
                  <c:v>Real Tax Collections</c:v>
                </c:pt>
              </c:strCache>
            </c:strRef>
          </c:tx>
          <c:spPr>
            <a:ln w="12700">
              <a:solidFill>
                <a:srgbClr val="C00000"/>
              </a:solidFill>
              <a:prstDash val="solid"/>
            </a:ln>
          </c:spPr>
          <c:marker>
            <c:symbol val="square"/>
            <c:size val="5"/>
            <c:spPr>
              <a:solidFill>
                <a:srgbClr val="FFFFFF"/>
              </a:solidFill>
              <a:ln>
                <a:solidFill>
                  <a:srgbClr val="FF0000"/>
                </a:solidFill>
                <a:prstDash val="solid"/>
              </a:ln>
            </c:spPr>
          </c:marker>
          <c:val>
            <c:numRef>
              <c:f>'Mining, Oil &amp; Gas Severance'!$H$31:$H$92</c:f>
              <c:numCache>
                <c:formatCode>#,##0</c:formatCode>
                <c:ptCount val="62"/>
                <c:pt idx="0">
                  <c:v>5275647.0588235296</c:v>
                </c:pt>
                <c:pt idx="1">
                  <c:v>5598719.3548387093</c:v>
                </c:pt>
                <c:pt idx="2">
                  <c:v>6799926.9841269841</c:v>
                </c:pt>
                <c:pt idx="3">
                  <c:v>6438981.4814814813</c:v>
                </c:pt>
                <c:pt idx="4">
                  <c:v>4576095.8083832338</c:v>
                </c:pt>
                <c:pt idx="5">
                  <c:v>5120304.59770115</c:v>
                </c:pt>
                <c:pt idx="6">
                  <c:v>8181373.2970027234</c:v>
                </c:pt>
                <c:pt idx="7">
                  <c:v>8706811.8556701038</c:v>
                </c:pt>
                <c:pt idx="8">
                  <c:v>6293064.1975308638</c:v>
                </c:pt>
                <c:pt idx="9">
                  <c:v>5700636.3636363642</c:v>
                </c:pt>
                <c:pt idx="10">
                  <c:v>6468281.5315315314</c:v>
                </c:pt>
                <c:pt idx="11">
                  <c:v>6258855.9837728199</c:v>
                </c:pt>
                <c:pt idx="12">
                  <c:v>4641631.9702602234</c:v>
                </c:pt>
                <c:pt idx="13">
                  <c:v>3442117.7504393677</c:v>
                </c:pt>
                <c:pt idx="14">
                  <c:v>3807219.471947195</c:v>
                </c:pt>
                <c:pt idx="15">
                  <c:v>4501107.3619631901</c:v>
                </c:pt>
                <c:pt idx="16">
                  <c:v>5110030.3030303027</c:v>
                </c:pt>
                <c:pt idx="17">
                  <c:v>5058156.5533980578</c:v>
                </c:pt>
                <c:pt idx="18">
                  <c:v>4634464.2464246424</c:v>
                </c:pt>
                <c:pt idx="19">
                  <c:v>2418645.5958549222</c:v>
                </c:pt>
                <c:pt idx="20">
                  <c:v>3667726.9076305223</c:v>
                </c:pt>
                <c:pt idx="21">
                  <c:v>732820.019249278</c:v>
                </c:pt>
                <c:pt idx="22">
                  <c:v>951229.55390334583</c:v>
                </c:pt>
                <c:pt idx="23">
                  <c:v>809843.97810218984</c:v>
                </c:pt>
                <c:pt idx="24">
                  <c:v>3207161.971830986</c:v>
                </c:pt>
                <c:pt idx="25">
                  <c:v>4172066.7793744714</c:v>
                </c:pt>
                <c:pt idx="26">
                  <c:v>4346058.8709677421</c:v>
                </c:pt>
                <c:pt idx="27">
                  <c:v>5548985.4628921198</c:v>
                </c:pt>
                <c:pt idx="28">
                  <c:v>4708814.9779735683</c:v>
                </c:pt>
                <c:pt idx="29">
                  <c:v>5016317.8902352098</c:v>
                </c:pt>
                <c:pt idx="30">
                  <c:v>4232854.671280277</c:v>
                </c:pt>
                <c:pt idx="31">
                  <c:v>5681027.6653171387</c:v>
                </c:pt>
                <c:pt idx="32">
                  <c:v>5439038.0577427819</c:v>
                </c:pt>
                <c:pt idx="33">
                  <c:v>4183126.1950286808</c:v>
                </c:pt>
                <c:pt idx="34">
                  <c:v>5619720.2492211843</c:v>
                </c:pt>
                <c:pt idx="35">
                  <c:v>3135986.5030674851</c:v>
                </c:pt>
                <c:pt idx="36">
                  <c:v>3420171.0684273713</c:v>
                </c:pt>
                <c:pt idx="37">
                  <c:v>3602621.3704994195</c:v>
                </c:pt>
                <c:pt idx="38">
                  <c:v>2796442.6877470356</c:v>
                </c:pt>
                <c:pt idx="39">
                  <c:v>3242877.1539744302</c:v>
                </c:pt>
                <c:pt idx="40">
                  <c:v>3275263.0434782607</c:v>
                </c:pt>
                <c:pt idx="41">
                  <c:v>6060047.1148755951</c:v>
                </c:pt>
                <c:pt idx="42">
                  <c:v>8726471.0701484885</c:v>
                </c:pt>
                <c:pt idx="43">
                  <c:v>11708580.853174603</c:v>
                </c:pt>
                <c:pt idx="44">
                  <c:v>12803614.318372544</c:v>
                </c:pt>
                <c:pt idx="45">
                  <c:v>6768924.2602286087</c:v>
                </c:pt>
                <c:pt idx="46">
                  <c:v>9725774.1088949684</c:v>
                </c:pt>
                <c:pt idx="47">
                  <c:v>12436390.651942618</c:v>
                </c:pt>
                <c:pt idx="48">
                  <c:v>11292488.630250867</c:v>
                </c:pt>
                <c:pt idx="49">
                  <c:v>7378645.347874945</c:v>
                </c:pt>
                <c:pt idx="50">
                  <c:v>6804174.5901604164</c:v>
                </c:pt>
                <c:pt idx="51">
                  <c:v>6905001.7741281437</c:v>
                </c:pt>
                <c:pt idx="52">
                  <c:v>2943687.1616803859</c:v>
                </c:pt>
                <c:pt idx="53">
                  <c:v>3802660.7501848903</c:v>
                </c:pt>
                <c:pt idx="54">
                  <c:v>4144169.2725384962</c:v>
                </c:pt>
                <c:pt idx="55">
                  <c:v>5328724.4083199585</c:v>
                </c:pt>
                <c:pt idx="56">
                  <c:v>5612140.1171489181</c:v>
                </c:pt>
                <c:pt idx="57">
                  <c:v>5167247.5474380907</c:v>
                </c:pt>
                <c:pt idx="58">
                  <c:v>5727410.3284687027</c:v>
                </c:pt>
                <c:pt idx="59">
                  <c:v>4863488.4078522492</c:v>
                </c:pt>
                <c:pt idx="60">
                  <c:v>3845650.0121430121</c:v>
                </c:pt>
                <c:pt idx="61">
                  <c:v>6643877.1936535873</c:v>
                </c:pt>
              </c:numCache>
            </c:numRef>
          </c:val>
          <c:smooth val="0"/>
          <c:extLst>
            <c:ext xmlns:c16="http://schemas.microsoft.com/office/drawing/2014/chart" uri="{C3380CC4-5D6E-409C-BE32-E72D297353CC}">
              <c16:uniqueId val="{00000001-BD3C-4604-8B7C-2651E5AA91A2}"/>
            </c:ext>
          </c:extLst>
        </c:ser>
        <c:dLbls>
          <c:showLegendKey val="0"/>
          <c:showVal val="0"/>
          <c:showCatName val="0"/>
          <c:showSerName val="0"/>
          <c:showPercent val="0"/>
          <c:showBubbleSize val="0"/>
        </c:dLbls>
        <c:marker val="1"/>
        <c:smooth val="0"/>
        <c:axId val="58768384"/>
        <c:axId val="59442688"/>
      </c:lineChart>
      <c:catAx>
        <c:axId val="58768384"/>
        <c:scaling>
          <c:orientation val="minMax"/>
        </c:scaling>
        <c:delete val="0"/>
        <c:axPos val="b"/>
        <c:title>
          <c:tx>
            <c:rich>
              <a:bodyPr rot="0" vert="horz" anchor="ctr" anchorCtr="1"/>
              <a:lstStyle/>
              <a:p>
                <a:pPr algn="ctr">
                  <a:defRPr sz="1200" b="1" i="0" u="none" strike="noStrike" baseline="0">
                    <a:solidFill>
                      <a:srgbClr val="000000"/>
                    </a:solidFill>
                    <a:latin typeface="Times New Roman"/>
                    <a:ea typeface="Times New Roman"/>
                    <a:cs typeface="Times New Roman"/>
                  </a:defRPr>
                </a:pPr>
                <a:r>
                  <a:rPr lang="en-US"/>
                  <a:t>Fiscal Year</a:t>
                </a:r>
              </a:p>
            </c:rich>
          </c:tx>
          <c:layout>
            <c:manualLayout>
              <c:xMode val="edge"/>
              <c:yMode val="edge"/>
              <c:x val="0.50326940323682112"/>
              <c:y val="0.92711440481703744"/>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Times New Roman"/>
                <a:ea typeface="Times New Roman"/>
                <a:cs typeface="Times New Roman"/>
              </a:defRPr>
            </a:pPr>
            <a:endParaRPr lang="en-US"/>
          </a:p>
        </c:txPr>
        <c:crossAx val="59442688"/>
        <c:crosses val="autoZero"/>
        <c:auto val="0"/>
        <c:lblAlgn val="ctr"/>
        <c:lblOffset val="100"/>
        <c:tickMarkSkip val="1"/>
        <c:noMultiLvlLbl val="0"/>
      </c:catAx>
      <c:valAx>
        <c:axId val="59442688"/>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Times New Roman"/>
                    <a:ea typeface="Times New Roman"/>
                    <a:cs typeface="Times New Roman"/>
                  </a:defRPr>
                </a:pPr>
                <a:r>
                  <a:rPr lang="en-US"/>
                  <a:t>Collections</a:t>
                </a:r>
              </a:p>
            </c:rich>
          </c:tx>
          <c:layout>
            <c:manualLayout>
              <c:xMode val="edge"/>
              <c:yMode val="edge"/>
              <c:x val="1.4314088481886473E-2"/>
              <c:y val="0.35621334663483806"/>
            </c:manualLayout>
          </c:layout>
          <c:overlay val="0"/>
          <c:spPr>
            <a:noFill/>
            <a:ln w="25400">
              <a:noFill/>
            </a:ln>
          </c:spPr>
        </c:title>
        <c:numFmt formatCode="\$#,##0_);\(\$#,##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en-US"/>
          </a:p>
        </c:txPr>
        <c:crossAx val="58768384"/>
        <c:crosses val="autoZero"/>
        <c:crossBetween val="midCat"/>
      </c:valAx>
      <c:spPr>
        <a:noFill/>
        <a:ln w="3175">
          <a:solidFill>
            <a:srgbClr val="000000"/>
          </a:solidFill>
          <a:prstDash val="solid"/>
        </a:ln>
      </c:spPr>
    </c:plotArea>
    <c:legend>
      <c:legendPos val="r"/>
      <c:layout>
        <c:manualLayout>
          <c:xMode val="edge"/>
          <c:yMode val="edge"/>
          <c:x val="0.20662552959700131"/>
          <c:y val="0.17564979634863226"/>
          <c:w val="0.50578976385644303"/>
          <c:h val="0.13192768655586298"/>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oddHeader>&amp;A</c:oddHeader>
      <c:oddFooter>&amp;L&amp;"Times New Roman,Regular"&amp;8Real numbers are based on using the CPI of the previous year.
The CPI base period for real numbers: 1982 to 1984 = 100.&amp;R&amp;"Times New Roman,Regular"&amp;8Economic and Statistical Unit
Utah State Tax Commission</c:oddFooter>
    </c:headerFooter>
    <c:pageMargins b="1" l="0.75000000000000899" r="0.75000000000000899" t="1" header="0.5" footer="0.5"/>
    <c:pageSetup orientation="landscape" horizontalDpi="300" verticalDpi="300"/>
  </c:printSettings>
  <c:userShapes r:id="rId2"/>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b="1" i="0" u="none" strike="noStrike" baseline="0">
                <a:solidFill>
                  <a:srgbClr val="000000"/>
                </a:solidFill>
                <a:latin typeface="Times New Roman"/>
                <a:ea typeface="Times New Roman"/>
                <a:cs typeface="Times New Roman"/>
              </a:defRPr>
            </a:pPr>
            <a:r>
              <a:rPr lang="en-US"/>
              <a:t>Oil &amp; Gas Severance Tax: Real Per Capita</a:t>
            </a:r>
          </a:p>
        </c:rich>
      </c:tx>
      <c:layout>
        <c:manualLayout>
          <c:xMode val="edge"/>
          <c:yMode val="edge"/>
          <c:x val="0.22005507689744938"/>
          <c:y val="3.0092561465394772E-2"/>
        </c:manualLayout>
      </c:layout>
      <c:overlay val="0"/>
      <c:spPr>
        <a:noFill/>
        <a:ln w="25400">
          <a:noFill/>
        </a:ln>
      </c:spPr>
    </c:title>
    <c:autoTitleDeleted val="0"/>
    <c:plotArea>
      <c:layout>
        <c:manualLayout>
          <c:layoutTarget val="inner"/>
          <c:xMode val="edge"/>
          <c:yMode val="edge"/>
          <c:x val="0.15175721784777227"/>
          <c:y val="0.13838096284010609"/>
          <c:w val="0.78496538713910768"/>
          <c:h val="0.6721201369608879"/>
        </c:manualLayout>
      </c:layout>
      <c:areaChart>
        <c:grouping val="stacked"/>
        <c:varyColors val="0"/>
        <c:ser>
          <c:idx val="0"/>
          <c:order val="0"/>
          <c:spPr>
            <a:ln>
              <a:solidFill>
                <a:srgbClr val="000000"/>
              </a:solidFill>
            </a:ln>
          </c:spPr>
          <c:cat>
            <c:numRef>
              <c:f>'Mining, Oil &amp; Gas Severance'!$A$31:$A$92</c:f>
              <c:numCache>
                <c:formatCode>General</c:formatCode>
                <c:ptCount val="62"/>
                <c:pt idx="0">
                  <c:v>1964</c:v>
                </c:pt>
                <c:pt idx="1">
                  <c:v>1965</c:v>
                </c:pt>
                <c:pt idx="2">
                  <c:v>1966</c:v>
                </c:pt>
                <c:pt idx="3">
                  <c:v>1967</c:v>
                </c:pt>
                <c:pt idx="4">
                  <c:v>1968</c:v>
                </c:pt>
                <c:pt idx="5">
                  <c:v>1969</c:v>
                </c:pt>
                <c:pt idx="6">
                  <c:v>1970</c:v>
                </c:pt>
                <c:pt idx="7">
                  <c:v>1971</c:v>
                </c:pt>
                <c:pt idx="8">
                  <c:v>1972</c:v>
                </c:pt>
                <c:pt idx="9">
                  <c:v>1973</c:v>
                </c:pt>
                <c:pt idx="10">
                  <c:v>1974</c:v>
                </c:pt>
                <c:pt idx="11">
                  <c:v>1975</c:v>
                </c:pt>
                <c:pt idx="12">
                  <c:v>1976</c:v>
                </c:pt>
                <c:pt idx="13">
                  <c:v>1977</c:v>
                </c:pt>
                <c:pt idx="14">
                  <c:v>1978</c:v>
                </c:pt>
                <c:pt idx="15">
                  <c:v>1979</c:v>
                </c:pt>
                <c:pt idx="16">
                  <c:v>1980</c:v>
                </c:pt>
                <c:pt idx="17">
                  <c:v>1981</c:v>
                </c:pt>
                <c:pt idx="18">
                  <c:v>1982</c:v>
                </c:pt>
                <c:pt idx="19">
                  <c:v>1983</c:v>
                </c:pt>
                <c:pt idx="20">
                  <c:v>1984</c:v>
                </c:pt>
                <c:pt idx="21">
                  <c:v>1985</c:v>
                </c:pt>
                <c:pt idx="22">
                  <c:v>1986</c:v>
                </c:pt>
                <c:pt idx="23">
                  <c:v>1987</c:v>
                </c:pt>
                <c:pt idx="24">
                  <c:v>1988</c:v>
                </c:pt>
                <c:pt idx="25">
                  <c:v>1989</c:v>
                </c:pt>
                <c:pt idx="26">
                  <c:v>1990</c:v>
                </c:pt>
                <c:pt idx="27">
                  <c:v>1991</c:v>
                </c:pt>
                <c:pt idx="28">
                  <c:v>1992</c:v>
                </c:pt>
                <c:pt idx="29">
                  <c:v>1993</c:v>
                </c:pt>
                <c:pt idx="30">
                  <c:v>1994</c:v>
                </c:pt>
                <c:pt idx="31">
                  <c:v>1995</c:v>
                </c:pt>
                <c:pt idx="32">
                  <c:v>1996</c:v>
                </c:pt>
                <c:pt idx="33">
                  <c:v>1997</c:v>
                </c:pt>
                <c:pt idx="34">
                  <c:v>1998</c:v>
                </c:pt>
                <c:pt idx="35">
                  <c:v>1999</c:v>
                </c:pt>
                <c:pt idx="36">
                  <c:v>2000</c:v>
                </c:pt>
                <c:pt idx="37">
                  <c:v>2001</c:v>
                </c:pt>
                <c:pt idx="38">
                  <c:v>2002</c:v>
                </c:pt>
                <c:pt idx="39">
                  <c:v>2003</c:v>
                </c:pt>
                <c:pt idx="40">
                  <c:v>2004</c:v>
                </c:pt>
                <c:pt idx="41">
                  <c:v>2005</c:v>
                </c:pt>
                <c:pt idx="42">
                  <c:v>2006</c:v>
                </c:pt>
                <c:pt idx="43">
                  <c:v>2007</c:v>
                </c:pt>
                <c:pt idx="44">
                  <c:v>2008</c:v>
                </c:pt>
                <c:pt idx="45">
                  <c:v>2009</c:v>
                </c:pt>
                <c:pt idx="46">
                  <c:v>2010</c:v>
                </c:pt>
                <c:pt idx="47">
                  <c:v>2011</c:v>
                </c:pt>
                <c:pt idx="48">
                  <c:v>2012</c:v>
                </c:pt>
                <c:pt idx="49">
                  <c:v>2013</c:v>
                </c:pt>
                <c:pt idx="50">
                  <c:v>2014</c:v>
                </c:pt>
                <c:pt idx="51">
                  <c:v>2015</c:v>
                </c:pt>
                <c:pt idx="52">
                  <c:v>2016</c:v>
                </c:pt>
                <c:pt idx="53">
                  <c:v>2017</c:v>
                </c:pt>
                <c:pt idx="54">
                  <c:v>2018</c:v>
                </c:pt>
                <c:pt idx="55">
                  <c:v>2019</c:v>
                </c:pt>
                <c:pt idx="56">
                  <c:v>2020</c:v>
                </c:pt>
                <c:pt idx="57">
                  <c:v>2021</c:v>
                </c:pt>
                <c:pt idx="58">
                  <c:v>2022</c:v>
                </c:pt>
                <c:pt idx="59">
                  <c:v>2023</c:v>
                </c:pt>
                <c:pt idx="60">
                  <c:v>2024</c:v>
                </c:pt>
                <c:pt idx="61">
                  <c:v>2025</c:v>
                </c:pt>
              </c:numCache>
            </c:numRef>
          </c:cat>
          <c:val>
            <c:numRef>
              <c:f>'Mining, Oil &amp; Gas Severance'!$P$31:$P$92</c:f>
              <c:numCache>
                <c:formatCode>0.00</c:formatCode>
                <c:ptCount val="62"/>
                <c:pt idx="0">
                  <c:v>5.38356752694233</c:v>
                </c:pt>
                <c:pt idx="1">
                  <c:v>4.5148228774985162</c:v>
                </c:pt>
                <c:pt idx="2">
                  <c:v>3.8071917095125976</c:v>
                </c:pt>
                <c:pt idx="3">
                  <c:v>3.4770522091301741</c:v>
                </c:pt>
                <c:pt idx="4">
                  <c:v>3.3431684227227589</c:v>
                </c:pt>
                <c:pt idx="5">
                  <c:v>3.110555388000849</c:v>
                </c:pt>
                <c:pt idx="6">
                  <c:v>3.0458114399777223</c:v>
                </c:pt>
                <c:pt idx="7">
                  <c:v>2.9062518133111546</c:v>
                </c:pt>
                <c:pt idx="8">
                  <c:v>2.9032947036852041</c:v>
                </c:pt>
                <c:pt idx="9">
                  <c:v>2.9451655504078431</c:v>
                </c:pt>
                <c:pt idx="10">
                  <c:v>4.1717272257500664</c:v>
                </c:pt>
                <c:pt idx="11">
                  <c:v>9.2155577644227087</c:v>
                </c:pt>
                <c:pt idx="12">
                  <c:v>8.9116097868426394</c:v>
                </c:pt>
                <c:pt idx="13">
                  <c:v>9.1374045838439812</c:v>
                </c:pt>
                <c:pt idx="14">
                  <c:v>7.727188768118805</c:v>
                </c:pt>
                <c:pt idx="15">
                  <c:v>7.4988882828271466</c:v>
                </c:pt>
                <c:pt idx="16">
                  <c:v>6.671220258532343</c:v>
                </c:pt>
                <c:pt idx="17">
                  <c:v>9.2014003240637052</c:v>
                </c:pt>
                <c:pt idx="18">
                  <c:v>13.86529570448794</c:v>
                </c:pt>
                <c:pt idx="19">
                  <c:v>11.373074953274758</c:v>
                </c:pt>
                <c:pt idx="20">
                  <c:v>20.515650690536443</c:v>
                </c:pt>
                <c:pt idx="21">
                  <c:v>27.56062276517898</c:v>
                </c:pt>
                <c:pt idx="22">
                  <c:v>24.194938196743198</c:v>
                </c:pt>
                <c:pt idx="23">
                  <c:v>11.408155057915739</c:v>
                </c:pt>
                <c:pt idx="24">
                  <c:v>13.383949705383674</c:v>
                </c:pt>
                <c:pt idx="25">
                  <c:v>11.603491274315125</c:v>
                </c:pt>
                <c:pt idx="26">
                  <c:v>11.679211417010173</c:v>
                </c:pt>
                <c:pt idx="27">
                  <c:v>10.514528680155045</c:v>
                </c:pt>
                <c:pt idx="28">
                  <c:v>4.842950467040203</c:v>
                </c:pt>
                <c:pt idx="29">
                  <c:v>4.7418766582529974</c:v>
                </c:pt>
                <c:pt idx="30">
                  <c:v>4.6722451424536802</c:v>
                </c:pt>
                <c:pt idx="31">
                  <c:v>4.5005866992117065</c:v>
                </c:pt>
                <c:pt idx="32">
                  <c:v>4.0945064247441376</c:v>
                </c:pt>
                <c:pt idx="33">
                  <c:v>5.8088967208235749</c:v>
                </c:pt>
                <c:pt idx="34">
                  <c:v>4.6087347124625966</c:v>
                </c:pt>
                <c:pt idx="35">
                  <c:v>2.3692188317277081</c:v>
                </c:pt>
                <c:pt idx="36">
                  <c:v>5.0742777678911075</c:v>
                </c:pt>
                <c:pt idx="37">
                  <c:v>11.035101984235057</c:v>
                </c:pt>
                <c:pt idx="38">
                  <c:v>5.5693656504421218</c:v>
                </c:pt>
                <c:pt idx="39">
                  <c:v>7.0014613224785469</c:v>
                </c:pt>
                <c:pt idx="40">
                  <c:v>9.3637642900316891</c:v>
                </c:pt>
                <c:pt idx="41">
                  <c:v>12.620266509506775</c:v>
                </c:pt>
                <c:pt idx="42">
                  <c:v>15.632065862139104</c:v>
                </c:pt>
                <c:pt idx="43">
                  <c:v>13.945777479039176</c:v>
                </c:pt>
                <c:pt idx="44">
                  <c:v>13.44696453247014</c:v>
                </c:pt>
                <c:pt idx="45">
                  <c:v>17.763765014159951</c:v>
                </c:pt>
                <c:pt idx="46">
                  <c:v>10.812159933554092</c:v>
                </c:pt>
                <c:pt idx="47">
                  <c:v>11.22172806331759</c:v>
                </c:pt>
                <c:pt idx="48">
                  <c:v>11.713667756311782</c:v>
                </c:pt>
                <c:pt idx="49">
                  <c:v>9.4301579490233856</c:v>
                </c:pt>
                <c:pt idx="50">
                  <c:v>14.550823434690608</c:v>
                </c:pt>
                <c:pt idx="51">
                  <c:v>11.324843506199706</c:v>
                </c:pt>
                <c:pt idx="52">
                  <c:v>3.788508794652107</c:v>
                </c:pt>
                <c:pt idx="53">
                  <c:v>2.329750273228437</c:v>
                </c:pt>
                <c:pt idx="54">
                  <c:v>3.6682289015449774</c:v>
                </c:pt>
                <c:pt idx="55">
                  <c:v>3.4138380538576163</c:v>
                </c:pt>
                <c:pt idx="56">
                  <c:v>4.018859195663369</c:v>
                </c:pt>
                <c:pt idx="57">
                  <c:v>2.3175625382196032</c:v>
                </c:pt>
                <c:pt idx="58">
                  <c:v>8.3568826388411157</c:v>
                </c:pt>
                <c:pt idx="59">
                  <c:v>11.52711981615057</c:v>
                </c:pt>
                <c:pt idx="60">
                  <c:v>7.2416131447131447</c:v>
                </c:pt>
                <c:pt idx="61">
                  <c:v>7.5720396463702375</c:v>
                </c:pt>
              </c:numCache>
            </c:numRef>
          </c:val>
          <c:extLst>
            <c:ext xmlns:c16="http://schemas.microsoft.com/office/drawing/2014/chart" uri="{C3380CC4-5D6E-409C-BE32-E72D297353CC}">
              <c16:uniqueId val="{00000000-FD75-4A79-8E02-68D36766D7D7}"/>
            </c:ext>
          </c:extLst>
        </c:ser>
        <c:dLbls>
          <c:showLegendKey val="0"/>
          <c:showVal val="0"/>
          <c:showCatName val="0"/>
          <c:showSerName val="0"/>
          <c:showPercent val="0"/>
          <c:showBubbleSize val="0"/>
        </c:dLbls>
        <c:axId val="58897920"/>
        <c:axId val="58899840"/>
      </c:areaChart>
      <c:catAx>
        <c:axId val="58897920"/>
        <c:scaling>
          <c:orientation val="minMax"/>
        </c:scaling>
        <c:delete val="0"/>
        <c:axPos val="b"/>
        <c:title>
          <c:tx>
            <c:rich>
              <a:bodyPr/>
              <a:lstStyle/>
              <a:p>
                <a:pPr>
                  <a:defRPr sz="1200" b="1" i="0" u="none" strike="noStrike" baseline="0">
                    <a:solidFill>
                      <a:srgbClr val="000000"/>
                    </a:solidFill>
                    <a:latin typeface="Times New Roman"/>
                    <a:ea typeface="Times New Roman"/>
                    <a:cs typeface="Times New Roman"/>
                  </a:defRPr>
                </a:pPr>
                <a:r>
                  <a:rPr lang="en-US"/>
                  <a:t>Fiscal Year</a:t>
                </a:r>
              </a:p>
            </c:rich>
          </c:tx>
          <c:layout>
            <c:manualLayout>
              <c:xMode val="edge"/>
              <c:yMode val="edge"/>
              <c:x val="0.49160113201811845"/>
              <c:y val="0.91939942734431757"/>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Times New Roman"/>
                <a:ea typeface="Times New Roman"/>
                <a:cs typeface="Times New Roman"/>
              </a:defRPr>
            </a:pPr>
            <a:endParaRPr lang="en-US"/>
          </a:p>
        </c:txPr>
        <c:crossAx val="58899840"/>
        <c:crosses val="autoZero"/>
        <c:auto val="0"/>
        <c:lblAlgn val="ctr"/>
        <c:lblOffset val="100"/>
        <c:tickMarkSkip val="1"/>
        <c:noMultiLvlLbl val="0"/>
      </c:catAx>
      <c:valAx>
        <c:axId val="58899840"/>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Times New Roman"/>
                    <a:ea typeface="Times New Roman"/>
                    <a:cs typeface="Times New Roman"/>
                  </a:defRPr>
                </a:pPr>
                <a:r>
                  <a:rPr lang="en-US"/>
                  <a:t>Real Dollars</a:t>
                </a:r>
              </a:p>
            </c:rich>
          </c:tx>
          <c:layout>
            <c:manualLayout>
              <c:xMode val="edge"/>
              <c:yMode val="edge"/>
              <c:x val="3.2985759409181831E-2"/>
              <c:y val="0.37244046766882144"/>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en-US"/>
          </a:p>
        </c:txPr>
        <c:crossAx val="58897920"/>
        <c:crosses val="autoZero"/>
        <c:crossBetween val="midCat"/>
      </c:valAx>
      <c:spPr>
        <a:noFill/>
        <a:ln w="3175">
          <a:solidFill>
            <a:srgbClr val="00000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&amp;L&amp;"Times New Roman,Regular"&amp;8Real numbers are based on using the CPI and population of the previous year.
The CPI base period for real numbers: 1982 to 1984 = 100.&amp;R&amp;"Times New Roman,Regular"&amp;8Economic and Statistical Unit
Utah State Tax Commission</c:oddFooter>
    </c:headerFooter>
    <c:pageMargins b="1" l="0.75000000000000822" r="0.75000000000000822" t="1" header="0.5" footer="0.5"/>
    <c:pageSetup orientation="landscape" horizontalDpi="300" verticalDpi="300"/>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nchor="b" anchorCtr="0"/>
          <a:lstStyle/>
          <a:p>
            <a:pPr>
              <a:defRPr sz="1400" b="1" i="0" u="none" strike="noStrike" baseline="0">
                <a:solidFill>
                  <a:srgbClr val="000000"/>
                </a:solidFill>
                <a:latin typeface="Times New Roman"/>
                <a:ea typeface="Times New Roman"/>
                <a:cs typeface="Times New Roman"/>
              </a:defRPr>
            </a:pPr>
            <a:r>
              <a:rPr lang="en-US"/>
              <a:t>Oil &amp; Gas Severance Tax: Collections</a:t>
            </a:r>
          </a:p>
        </c:rich>
      </c:tx>
      <c:layout>
        <c:manualLayout>
          <c:xMode val="edge"/>
          <c:yMode val="edge"/>
          <c:x val="0.26279984799535161"/>
          <c:y val="2.8277393548304629E-2"/>
        </c:manualLayout>
      </c:layout>
      <c:overlay val="0"/>
      <c:spPr>
        <a:noFill/>
        <a:ln w="25400">
          <a:noFill/>
        </a:ln>
      </c:spPr>
    </c:title>
    <c:autoTitleDeleted val="0"/>
    <c:plotArea>
      <c:layout>
        <c:manualLayout>
          <c:layoutTarget val="inner"/>
          <c:xMode val="edge"/>
          <c:yMode val="edge"/>
          <c:x val="0.18866146358990743"/>
          <c:y val="0.13438007805788066"/>
          <c:w val="0.75705792526831661"/>
          <c:h val="0.6752705837492422"/>
        </c:manualLayout>
      </c:layout>
      <c:areaChart>
        <c:grouping val="standard"/>
        <c:varyColors val="0"/>
        <c:ser>
          <c:idx val="0"/>
          <c:order val="0"/>
          <c:tx>
            <c:strRef>
              <c:f>'Mining, Oil &amp; Gas Severance'!$N$4</c:f>
              <c:strCache>
                <c:ptCount val="1"/>
                <c:pt idx="0">
                  <c:v>Total Oil and Gas Severance Tax Collections</c:v>
                </c:pt>
              </c:strCache>
            </c:strRef>
          </c:tx>
          <c:spPr>
            <a:solidFill>
              <a:srgbClr val="969696"/>
            </a:solidFill>
            <a:ln w="12700">
              <a:solidFill>
                <a:srgbClr val="000000"/>
              </a:solidFill>
              <a:prstDash val="solid"/>
            </a:ln>
          </c:spPr>
          <c:cat>
            <c:numRef>
              <c:f>'Mining, Oil &amp; Gas Severance'!$A$31:$A$92</c:f>
              <c:numCache>
                <c:formatCode>General</c:formatCode>
                <c:ptCount val="62"/>
                <c:pt idx="0">
                  <c:v>1964</c:v>
                </c:pt>
                <c:pt idx="1">
                  <c:v>1965</c:v>
                </c:pt>
                <c:pt idx="2">
                  <c:v>1966</c:v>
                </c:pt>
                <c:pt idx="3">
                  <c:v>1967</c:v>
                </c:pt>
                <c:pt idx="4">
                  <c:v>1968</c:v>
                </c:pt>
                <c:pt idx="5">
                  <c:v>1969</c:v>
                </c:pt>
                <c:pt idx="6">
                  <c:v>1970</c:v>
                </c:pt>
                <c:pt idx="7">
                  <c:v>1971</c:v>
                </c:pt>
                <c:pt idx="8">
                  <c:v>1972</c:v>
                </c:pt>
                <c:pt idx="9">
                  <c:v>1973</c:v>
                </c:pt>
                <c:pt idx="10">
                  <c:v>1974</c:v>
                </c:pt>
                <c:pt idx="11">
                  <c:v>1975</c:v>
                </c:pt>
                <c:pt idx="12">
                  <c:v>1976</c:v>
                </c:pt>
                <c:pt idx="13">
                  <c:v>1977</c:v>
                </c:pt>
                <c:pt idx="14">
                  <c:v>1978</c:v>
                </c:pt>
                <c:pt idx="15">
                  <c:v>1979</c:v>
                </c:pt>
                <c:pt idx="16">
                  <c:v>1980</c:v>
                </c:pt>
                <c:pt idx="17">
                  <c:v>1981</c:v>
                </c:pt>
                <c:pt idx="18">
                  <c:v>1982</c:v>
                </c:pt>
                <c:pt idx="19">
                  <c:v>1983</c:v>
                </c:pt>
                <c:pt idx="20">
                  <c:v>1984</c:v>
                </c:pt>
                <c:pt idx="21">
                  <c:v>1985</c:v>
                </c:pt>
                <c:pt idx="22">
                  <c:v>1986</c:v>
                </c:pt>
                <c:pt idx="23">
                  <c:v>1987</c:v>
                </c:pt>
                <c:pt idx="24">
                  <c:v>1988</c:v>
                </c:pt>
                <c:pt idx="25">
                  <c:v>1989</c:v>
                </c:pt>
                <c:pt idx="26">
                  <c:v>1990</c:v>
                </c:pt>
                <c:pt idx="27">
                  <c:v>1991</c:v>
                </c:pt>
                <c:pt idx="28">
                  <c:v>1992</c:v>
                </c:pt>
                <c:pt idx="29">
                  <c:v>1993</c:v>
                </c:pt>
                <c:pt idx="30">
                  <c:v>1994</c:v>
                </c:pt>
                <c:pt idx="31">
                  <c:v>1995</c:v>
                </c:pt>
                <c:pt idx="32">
                  <c:v>1996</c:v>
                </c:pt>
                <c:pt idx="33">
                  <c:v>1997</c:v>
                </c:pt>
                <c:pt idx="34">
                  <c:v>1998</c:v>
                </c:pt>
                <c:pt idx="35">
                  <c:v>1999</c:v>
                </c:pt>
                <c:pt idx="36">
                  <c:v>2000</c:v>
                </c:pt>
                <c:pt idx="37">
                  <c:v>2001</c:v>
                </c:pt>
                <c:pt idx="38">
                  <c:v>2002</c:v>
                </c:pt>
                <c:pt idx="39">
                  <c:v>2003</c:v>
                </c:pt>
                <c:pt idx="40">
                  <c:v>2004</c:v>
                </c:pt>
                <c:pt idx="41">
                  <c:v>2005</c:v>
                </c:pt>
                <c:pt idx="42">
                  <c:v>2006</c:v>
                </c:pt>
                <c:pt idx="43">
                  <c:v>2007</c:v>
                </c:pt>
                <c:pt idx="44">
                  <c:v>2008</c:v>
                </c:pt>
                <c:pt idx="45">
                  <c:v>2009</c:v>
                </c:pt>
                <c:pt idx="46">
                  <c:v>2010</c:v>
                </c:pt>
                <c:pt idx="47">
                  <c:v>2011</c:v>
                </c:pt>
                <c:pt idx="48">
                  <c:v>2012</c:v>
                </c:pt>
                <c:pt idx="49">
                  <c:v>2013</c:v>
                </c:pt>
                <c:pt idx="50">
                  <c:v>2014</c:v>
                </c:pt>
                <c:pt idx="51">
                  <c:v>2015</c:v>
                </c:pt>
                <c:pt idx="52">
                  <c:v>2016</c:v>
                </c:pt>
                <c:pt idx="53">
                  <c:v>2017</c:v>
                </c:pt>
                <c:pt idx="54">
                  <c:v>2018</c:v>
                </c:pt>
                <c:pt idx="55">
                  <c:v>2019</c:v>
                </c:pt>
                <c:pt idx="56">
                  <c:v>2020</c:v>
                </c:pt>
                <c:pt idx="57">
                  <c:v>2021</c:v>
                </c:pt>
                <c:pt idx="58">
                  <c:v>2022</c:v>
                </c:pt>
                <c:pt idx="59">
                  <c:v>2023</c:v>
                </c:pt>
                <c:pt idx="60">
                  <c:v>2024</c:v>
                </c:pt>
                <c:pt idx="61">
                  <c:v>2025</c:v>
                </c:pt>
              </c:numCache>
            </c:numRef>
          </c:cat>
          <c:val>
            <c:numRef>
              <c:f>'Mining, Oil &amp; Gas Severance'!$N$31:$N$92</c:f>
              <c:numCache>
                <c:formatCode>#,##0</c:formatCode>
                <c:ptCount val="62"/>
                <c:pt idx="0">
                  <c:v>1604540</c:v>
                </c:pt>
                <c:pt idx="1">
                  <c:v>1368804</c:v>
                </c:pt>
                <c:pt idx="2">
                  <c:v>1188472</c:v>
                </c:pt>
                <c:pt idx="3">
                  <c:v>1136704</c:v>
                </c:pt>
                <c:pt idx="4">
                  <c:v>1137834</c:v>
                </c:pt>
                <c:pt idx="5">
                  <c:v>1113865</c:v>
                </c:pt>
                <c:pt idx="6">
                  <c:v>1170350</c:v>
                </c:pt>
                <c:pt idx="7">
                  <c:v>1202049</c:v>
                </c:pt>
                <c:pt idx="8">
                  <c:v>1294770</c:v>
                </c:pt>
                <c:pt idx="9">
                  <c:v>1397398</c:v>
                </c:pt>
                <c:pt idx="10">
                  <c:v>2165184</c:v>
                </c:pt>
                <c:pt idx="11">
                  <c:v>5438067</c:v>
                </c:pt>
                <c:pt idx="12">
                  <c:v>5915867</c:v>
                </c:pt>
                <c:pt idx="13">
                  <c:v>6613621</c:v>
                </c:pt>
                <c:pt idx="14">
                  <c:v>6162168</c:v>
                </c:pt>
                <c:pt idx="15">
                  <c:v>6667749</c:v>
                </c:pt>
                <c:pt idx="16">
                  <c:v>6857879</c:v>
                </c:pt>
                <c:pt idx="17">
                  <c:v>11175800</c:v>
                </c:pt>
                <c:pt idx="18">
                  <c:v>19094384</c:v>
                </c:pt>
                <c:pt idx="19">
                  <c:v>17099077</c:v>
                </c:pt>
                <c:pt idx="20">
                  <c:v>32591573</c:v>
                </c:pt>
                <c:pt idx="21">
                  <c:v>46446760</c:v>
                </c:pt>
                <c:pt idx="22">
                  <c:v>42773457</c:v>
                </c:pt>
                <c:pt idx="23">
                  <c:v>20793051</c:v>
                </c:pt>
                <c:pt idx="24">
                  <c:v>25512592</c:v>
                </c:pt>
                <c:pt idx="25">
                  <c:v>23198512</c:v>
                </c:pt>
                <c:pt idx="26">
                  <c:v>24706671</c:v>
                </c:pt>
                <c:pt idx="27">
                  <c:v>23763883</c:v>
                </c:pt>
                <c:pt idx="28">
                  <c:v>11746794</c:v>
                </c:pt>
                <c:pt idx="29">
                  <c:v>12228935</c:v>
                </c:pt>
                <c:pt idx="30">
                  <c:v>12756037</c:v>
                </c:pt>
                <c:pt idx="31">
                  <c:v>12984375</c:v>
                </c:pt>
                <c:pt idx="32">
                  <c:v>12450278.17</c:v>
                </c:pt>
                <c:pt idx="33">
                  <c:v>18619251.530000001</c:v>
                </c:pt>
                <c:pt idx="34">
                  <c:v>15529368.710000001</c:v>
                </c:pt>
                <c:pt idx="35">
                  <c:v>8270611.6299999999</c:v>
                </c:pt>
                <c:pt idx="36">
                  <c:v>18539185</c:v>
                </c:pt>
                <c:pt idx="37">
                  <c:v>42688386</c:v>
                </c:pt>
                <c:pt idx="38">
                  <c:v>22593317</c:v>
                </c:pt>
                <c:pt idx="39">
                  <c:v>29370815</c:v>
                </c:pt>
                <c:pt idx="40">
                  <c:v>40875853</c:v>
                </c:pt>
                <c:pt idx="41">
                  <c:v>57935747</c:v>
                </c:pt>
                <c:pt idx="42">
                  <c:v>76501945</c:v>
                </c:pt>
                <c:pt idx="43">
                  <c:v>72429873</c:v>
                </c:pt>
                <c:pt idx="44">
                  <c:v>73496948</c:v>
                </c:pt>
                <c:pt idx="45">
                  <c:v>102924434</c:v>
                </c:pt>
                <c:pt idx="46">
                  <c:v>63361494</c:v>
                </c:pt>
                <c:pt idx="47">
                  <c:v>67846185</c:v>
                </c:pt>
                <c:pt idx="48">
                  <c:v>74358167</c:v>
                </c:pt>
                <c:pt idx="49">
                  <c:v>62082393</c:v>
                </c:pt>
                <c:pt idx="50">
                  <c:v>98505891</c:v>
                </c:pt>
                <c:pt idx="51">
                  <c:v>79008726</c:v>
                </c:pt>
                <c:pt idx="52">
                  <c:v>26972276</c:v>
                </c:pt>
                <c:pt idx="53">
                  <c:v>17123551</c:v>
                </c:pt>
                <c:pt idx="54">
                  <c:v>28075894</c:v>
                </c:pt>
                <c:pt idx="55">
                  <c:v>27228829</c:v>
                </c:pt>
                <c:pt idx="56">
                  <c:v>33198069.499999989</c:v>
                </c:pt>
                <c:pt idx="57">
                  <c:v>19702719.110000003</c:v>
                </c:pt>
                <c:pt idx="58">
                  <c:v>75690554.169999987</c:v>
                </c:pt>
                <c:pt idx="59">
                  <c:v>114714596</c:v>
                </c:pt>
                <c:pt idx="60">
                  <c:v>76268461.599999994</c:v>
                </c:pt>
                <c:pt idx="61">
                  <c:v>83296714.719999984</c:v>
                </c:pt>
              </c:numCache>
            </c:numRef>
          </c:val>
          <c:extLst>
            <c:ext xmlns:c16="http://schemas.microsoft.com/office/drawing/2014/chart" uri="{C3380CC4-5D6E-409C-BE32-E72D297353CC}">
              <c16:uniqueId val="{00000000-BA8E-4503-A6E6-67F6891632AB}"/>
            </c:ext>
          </c:extLst>
        </c:ser>
        <c:dLbls>
          <c:showLegendKey val="0"/>
          <c:showVal val="0"/>
          <c:showCatName val="0"/>
          <c:showSerName val="0"/>
          <c:showPercent val="0"/>
          <c:showBubbleSize val="0"/>
        </c:dLbls>
        <c:axId val="60780544"/>
        <c:axId val="60782848"/>
      </c:areaChart>
      <c:lineChart>
        <c:grouping val="standard"/>
        <c:varyColors val="0"/>
        <c:ser>
          <c:idx val="1"/>
          <c:order val="1"/>
          <c:tx>
            <c:strRef>
              <c:f>'Mining, Oil &amp; Gas Severance'!$O$4:$O$4</c:f>
              <c:strCache>
                <c:ptCount val="1"/>
                <c:pt idx="0">
                  <c:v>Real Tax Collections</c:v>
                </c:pt>
              </c:strCache>
            </c:strRef>
          </c:tx>
          <c:spPr>
            <a:ln w="12700">
              <a:solidFill>
                <a:srgbClr val="C00000"/>
              </a:solidFill>
              <a:prstDash val="solid"/>
            </a:ln>
          </c:spPr>
          <c:marker>
            <c:symbol val="square"/>
            <c:size val="5"/>
            <c:spPr>
              <a:solidFill>
                <a:srgbClr val="FFFFFF"/>
              </a:solidFill>
              <a:ln>
                <a:solidFill>
                  <a:srgbClr val="FF0000"/>
                </a:solidFill>
                <a:prstDash val="solid"/>
              </a:ln>
            </c:spPr>
          </c:marker>
          <c:val>
            <c:numRef>
              <c:f>'Mining, Oil &amp; Gas Severance'!$O$31:$O$92</c:f>
              <c:numCache>
                <c:formatCode>#,##0</c:formatCode>
                <c:ptCount val="62"/>
                <c:pt idx="0">
                  <c:v>5243594.7712418297</c:v>
                </c:pt>
                <c:pt idx="1">
                  <c:v>4415496.7741935486</c:v>
                </c:pt>
                <c:pt idx="2">
                  <c:v>3772926.9841269841</c:v>
                </c:pt>
                <c:pt idx="3">
                  <c:v>3508345.6790123456</c:v>
                </c:pt>
                <c:pt idx="4">
                  <c:v>3406688.6227544914</c:v>
                </c:pt>
                <c:pt idx="5">
                  <c:v>3200761.4942528736</c:v>
                </c:pt>
                <c:pt idx="6">
                  <c:v>3188964.5776566751</c:v>
                </c:pt>
                <c:pt idx="7">
                  <c:v>3098064.4329896909</c:v>
                </c:pt>
                <c:pt idx="8">
                  <c:v>3196962.9629629627</c:v>
                </c:pt>
                <c:pt idx="9">
                  <c:v>3343057.4162679426</c:v>
                </c:pt>
                <c:pt idx="10">
                  <c:v>4876540.5405405406</c:v>
                </c:pt>
                <c:pt idx="11">
                  <c:v>11030561.866125761</c:v>
                </c:pt>
                <c:pt idx="12">
                  <c:v>10996035.315985132</c:v>
                </c:pt>
                <c:pt idx="13">
                  <c:v>11623235.500878736</c:v>
                </c:pt>
                <c:pt idx="14">
                  <c:v>10168594.059405942</c:v>
                </c:pt>
                <c:pt idx="15">
                  <c:v>10226608.895705521</c:v>
                </c:pt>
                <c:pt idx="16">
                  <c:v>9446114.3250688706</c:v>
                </c:pt>
                <c:pt idx="17">
                  <c:v>13562864.077669902</c:v>
                </c:pt>
                <c:pt idx="18">
                  <c:v>21005922.992299229</c:v>
                </c:pt>
                <c:pt idx="19">
                  <c:v>17719250.777202073</c:v>
                </c:pt>
                <c:pt idx="20">
                  <c:v>32722462.851405624</c:v>
                </c:pt>
                <c:pt idx="21">
                  <c:v>44703330.125120305</c:v>
                </c:pt>
                <c:pt idx="22">
                  <c:v>39752283.457249075</c:v>
                </c:pt>
                <c:pt idx="23">
                  <c:v>18971761.861313872</c:v>
                </c:pt>
                <c:pt idx="24">
                  <c:v>22458267.605633806</c:v>
                </c:pt>
                <c:pt idx="25">
                  <c:v>19609900.253592562</c:v>
                </c:pt>
                <c:pt idx="26">
                  <c:v>19924734.677419353</c:v>
                </c:pt>
                <c:pt idx="27">
                  <c:v>18182006.885998469</c:v>
                </c:pt>
                <c:pt idx="28">
                  <c:v>8624665.1982378867</c:v>
                </c:pt>
                <c:pt idx="29">
                  <c:v>8716275.8374910895</c:v>
                </c:pt>
                <c:pt idx="30">
                  <c:v>8827707.2664359864</c:v>
                </c:pt>
                <c:pt idx="31">
                  <c:v>8761386.6396761127</c:v>
                </c:pt>
                <c:pt idx="32">
                  <c:v>8169473.8648293959</c:v>
                </c:pt>
                <c:pt idx="33">
                  <c:v>11866954.448693436</c:v>
                </c:pt>
                <c:pt idx="34">
                  <c:v>9675619.1339563876</c:v>
                </c:pt>
                <c:pt idx="35">
                  <c:v>5073994.8650306752</c:v>
                </c:pt>
                <c:pt idx="36">
                  <c:v>11127962.18487395</c:v>
                </c:pt>
                <c:pt idx="37">
                  <c:v>24790003.484320559</c:v>
                </c:pt>
                <c:pt idx="38">
                  <c:v>12757378.31733484</c:v>
                </c:pt>
                <c:pt idx="39">
                  <c:v>16326189.549749861</c:v>
                </c:pt>
                <c:pt idx="40">
                  <c:v>22215137.5</c:v>
                </c:pt>
                <c:pt idx="41">
                  <c:v>30670061.937533084</c:v>
                </c:pt>
                <c:pt idx="42">
                  <c:v>39171502.816180237</c:v>
                </c:pt>
                <c:pt idx="43">
                  <c:v>35927516.369047619</c:v>
                </c:pt>
                <c:pt idx="44">
                  <c:v>35447207.029931225</c:v>
                </c:pt>
                <c:pt idx="45">
                  <c:v>47804458.832436152</c:v>
                </c:pt>
                <c:pt idx="46">
                  <c:v>29534063.588099018</c:v>
                </c:pt>
                <c:pt idx="47">
                  <c:v>31114110.595443368</c:v>
                </c:pt>
                <c:pt idx="48">
                  <c:v>33057036.352077674</c:v>
                </c:pt>
                <c:pt idx="49">
                  <c:v>27040076.395724628</c:v>
                </c:pt>
                <c:pt idx="50">
                  <c:v>42285010.109161779</c:v>
                </c:pt>
                <c:pt idx="51">
                  <c:v>33374191.50446067</c:v>
                </c:pt>
                <c:pt idx="52">
                  <c:v>11379890.893902125</c:v>
                </c:pt>
                <c:pt idx="53">
                  <c:v>7134589.9607303943</c:v>
                </c:pt>
                <c:pt idx="54">
                  <c:v>11453961.843101017</c:v>
                </c:pt>
                <c:pt idx="55">
                  <c:v>10843516.508898597</c:v>
                </c:pt>
                <c:pt idx="56">
                  <c:v>12985368.901753316</c:v>
                </c:pt>
                <c:pt idx="57">
                  <c:v>7612782.729482132</c:v>
                </c:pt>
                <c:pt idx="58">
                  <c:v>27933237.567327682</c:v>
                </c:pt>
                <c:pt idx="59">
                  <c:v>39197893.765696816</c:v>
                </c:pt>
                <c:pt idx="60">
                  <c:v>25030509.021929622</c:v>
                </c:pt>
                <c:pt idx="61">
                  <c:v>26553916.369397711</c:v>
                </c:pt>
              </c:numCache>
            </c:numRef>
          </c:val>
          <c:smooth val="0"/>
          <c:extLst>
            <c:ext xmlns:c16="http://schemas.microsoft.com/office/drawing/2014/chart" uri="{C3380CC4-5D6E-409C-BE32-E72D297353CC}">
              <c16:uniqueId val="{00000001-BA8E-4503-A6E6-67F6891632AB}"/>
            </c:ext>
          </c:extLst>
        </c:ser>
        <c:dLbls>
          <c:showLegendKey val="0"/>
          <c:showVal val="0"/>
          <c:showCatName val="0"/>
          <c:showSerName val="0"/>
          <c:showPercent val="0"/>
          <c:showBubbleSize val="0"/>
        </c:dLbls>
        <c:marker val="1"/>
        <c:smooth val="0"/>
        <c:axId val="60780544"/>
        <c:axId val="60782848"/>
      </c:lineChart>
      <c:catAx>
        <c:axId val="60780544"/>
        <c:scaling>
          <c:orientation val="minMax"/>
        </c:scaling>
        <c:delete val="0"/>
        <c:axPos val="b"/>
        <c:title>
          <c:tx>
            <c:rich>
              <a:bodyPr rot="0" vert="horz" anchor="ctr" anchorCtr="1"/>
              <a:lstStyle/>
              <a:p>
                <a:pPr algn="ctr">
                  <a:defRPr sz="1200" b="1" i="0" u="none" strike="noStrike" baseline="0">
                    <a:solidFill>
                      <a:srgbClr val="000000"/>
                    </a:solidFill>
                    <a:latin typeface="Times New Roman"/>
                    <a:ea typeface="Times New Roman"/>
                    <a:cs typeface="Times New Roman"/>
                  </a:defRPr>
                </a:pPr>
                <a:r>
                  <a:rPr lang="en-US"/>
                  <a:t>Fiscal Year</a:t>
                </a:r>
              </a:p>
            </c:rich>
          </c:tx>
          <c:layout>
            <c:manualLayout>
              <c:xMode val="edge"/>
              <c:yMode val="edge"/>
              <c:x val="0.50326940323682112"/>
              <c:y val="0.92711440481703744"/>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Times New Roman"/>
                <a:ea typeface="Times New Roman"/>
                <a:cs typeface="Times New Roman"/>
              </a:defRPr>
            </a:pPr>
            <a:endParaRPr lang="en-US"/>
          </a:p>
        </c:txPr>
        <c:crossAx val="60782848"/>
        <c:crosses val="autoZero"/>
        <c:auto val="0"/>
        <c:lblAlgn val="ctr"/>
        <c:lblOffset val="100"/>
        <c:tickMarkSkip val="1"/>
        <c:noMultiLvlLbl val="0"/>
      </c:catAx>
      <c:valAx>
        <c:axId val="60782848"/>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Times New Roman"/>
                    <a:ea typeface="Times New Roman"/>
                    <a:cs typeface="Times New Roman"/>
                  </a:defRPr>
                </a:pPr>
                <a:r>
                  <a:rPr lang="en-US"/>
                  <a:t>Collections</a:t>
                </a:r>
              </a:p>
            </c:rich>
          </c:tx>
          <c:layout>
            <c:manualLayout>
              <c:xMode val="edge"/>
              <c:yMode val="edge"/>
              <c:x val="1.4314088481886473E-2"/>
              <c:y val="0.35621334663483806"/>
            </c:manualLayout>
          </c:layout>
          <c:overlay val="0"/>
          <c:spPr>
            <a:noFill/>
            <a:ln w="25400">
              <a:noFill/>
            </a:ln>
          </c:spPr>
        </c:title>
        <c:numFmt formatCode="\$#,##0_);\(\$#,##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en-US"/>
          </a:p>
        </c:txPr>
        <c:crossAx val="60780544"/>
        <c:crosses val="autoZero"/>
        <c:crossBetween val="midCat"/>
      </c:valAx>
      <c:spPr>
        <a:noFill/>
        <a:ln w="3175">
          <a:solidFill>
            <a:srgbClr val="000000"/>
          </a:solidFill>
          <a:prstDash val="solid"/>
        </a:ln>
      </c:spPr>
    </c:plotArea>
    <c:legend>
      <c:legendPos val="r"/>
      <c:layout>
        <c:manualLayout>
          <c:xMode val="edge"/>
          <c:yMode val="edge"/>
          <c:x val="0.20872822501066968"/>
          <c:y val="0.17323833866348784"/>
          <c:w val="0.50569992550710641"/>
          <c:h val="9.9659097921030781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oddHeader>&amp;A</c:oddHeader>
      <c:oddFooter>&amp;L&amp;"Times New Roman,Regular"&amp;8Real numbers are based on using the CPI of the previous year.
The CPI base period for real numbers: 1982 to 1984 = 100.&amp;R&amp;"Times New Roman,Regular"&amp;8Economic and Statistical Unit
Utah State Tax Commission</c:oddFooter>
    </c:headerFooter>
    <c:pageMargins b="1" l="0.75000000000000899" r="0.75000000000000899" t="1" header="0.5" footer="0.5"/>
    <c:pageSetup orientation="landscape" horizontalDpi="300" verticalDpi="300"/>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b="1" i="0" u="none" strike="noStrike" baseline="0">
                <a:solidFill>
                  <a:srgbClr val="000000"/>
                </a:solidFill>
                <a:latin typeface="Times New Roman"/>
                <a:ea typeface="Times New Roman"/>
                <a:cs typeface="Times New Roman"/>
              </a:defRPr>
            </a:pPr>
            <a:r>
              <a:rPr lang="en-US"/>
              <a:t>Cigarette and Tobacco Tax: Collections</a:t>
            </a:r>
          </a:p>
        </c:rich>
      </c:tx>
      <c:layout>
        <c:manualLayout>
          <c:xMode val="edge"/>
          <c:yMode val="edge"/>
          <c:x val="0.23250062401335089"/>
          <c:y val="3.0092682472968535E-2"/>
        </c:manualLayout>
      </c:layout>
      <c:overlay val="0"/>
      <c:spPr>
        <a:noFill/>
        <a:ln w="25400">
          <a:noFill/>
        </a:ln>
      </c:spPr>
    </c:title>
    <c:autoTitleDeleted val="0"/>
    <c:plotArea>
      <c:layout>
        <c:manualLayout>
          <c:layoutTarget val="inner"/>
          <c:xMode val="edge"/>
          <c:yMode val="edge"/>
          <c:x val="0.1998507307377452"/>
          <c:y val="0.13838096284010609"/>
          <c:w val="0.73687184576892661"/>
          <c:h val="0.67212013696088391"/>
        </c:manualLayout>
      </c:layout>
      <c:areaChart>
        <c:grouping val="stacked"/>
        <c:varyColors val="0"/>
        <c:ser>
          <c:idx val="0"/>
          <c:order val="0"/>
          <c:tx>
            <c:v>Cigarette Tax</c:v>
          </c:tx>
          <c:spPr>
            <a:ln>
              <a:solidFill>
                <a:srgbClr val="000000"/>
              </a:solidFill>
            </a:ln>
          </c:spPr>
          <c:cat>
            <c:numRef>
              <c:f>'Cigarette  and Tobacco Taxes'!$A$5:$A$107</c:f>
              <c:numCache>
                <c:formatCode>General</c:formatCode>
                <c:ptCount val="103"/>
                <c:pt idx="0">
                  <c:v>1923</c:v>
                </c:pt>
                <c:pt idx="1">
                  <c:v>1924</c:v>
                </c:pt>
                <c:pt idx="2">
                  <c:v>1925</c:v>
                </c:pt>
                <c:pt idx="3">
                  <c:v>1926</c:v>
                </c:pt>
                <c:pt idx="4">
                  <c:v>1927</c:v>
                </c:pt>
                <c:pt idx="5">
                  <c:v>1928</c:v>
                </c:pt>
                <c:pt idx="6">
                  <c:v>1929</c:v>
                </c:pt>
                <c:pt idx="7">
                  <c:v>1930</c:v>
                </c:pt>
                <c:pt idx="8">
                  <c:v>1931</c:v>
                </c:pt>
                <c:pt idx="9">
                  <c:v>1932</c:v>
                </c:pt>
                <c:pt idx="10">
                  <c:v>1933</c:v>
                </c:pt>
                <c:pt idx="11">
                  <c:v>1934</c:v>
                </c:pt>
                <c:pt idx="12">
                  <c:v>1935</c:v>
                </c:pt>
                <c:pt idx="13">
                  <c:v>1936</c:v>
                </c:pt>
                <c:pt idx="14">
                  <c:v>1937</c:v>
                </c:pt>
                <c:pt idx="15">
                  <c:v>1938</c:v>
                </c:pt>
                <c:pt idx="16">
                  <c:v>1939</c:v>
                </c:pt>
                <c:pt idx="17">
                  <c:v>1940</c:v>
                </c:pt>
                <c:pt idx="18">
                  <c:v>1941</c:v>
                </c:pt>
                <c:pt idx="19">
                  <c:v>1942</c:v>
                </c:pt>
                <c:pt idx="20">
                  <c:v>1943</c:v>
                </c:pt>
                <c:pt idx="21">
                  <c:v>1944</c:v>
                </c:pt>
                <c:pt idx="22">
                  <c:v>1945</c:v>
                </c:pt>
                <c:pt idx="23">
                  <c:v>1946</c:v>
                </c:pt>
                <c:pt idx="24">
                  <c:v>1947</c:v>
                </c:pt>
                <c:pt idx="25">
                  <c:v>1948</c:v>
                </c:pt>
                <c:pt idx="26">
                  <c:v>1949</c:v>
                </c:pt>
                <c:pt idx="27">
                  <c:v>1950</c:v>
                </c:pt>
                <c:pt idx="28">
                  <c:v>1951</c:v>
                </c:pt>
                <c:pt idx="29">
                  <c:v>1952</c:v>
                </c:pt>
                <c:pt idx="30">
                  <c:v>1953</c:v>
                </c:pt>
                <c:pt idx="31">
                  <c:v>1954</c:v>
                </c:pt>
                <c:pt idx="32">
                  <c:v>1955</c:v>
                </c:pt>
                <c:pt idx="33">
                  <c:v>1956</c:v>
                </c:pt>
                <c:pt idx="34">
                  <c:v>1957</c:v>
                </c:pt>
                <c:pt idx="35">
                  <c:v>1958</c:v>
                </c:pt>
                <c:pt idx="36">
                  <c:v>1959</c:v>
                </c:pt>
                <c:pt idx="37">
                  <c:v>1960</c:v>
                </c:pt>
                <c:pt idx="38">
                  <c:v>1961</c:v>
                </c:pt>
                <c:pt idx="39">
                  <c:v>1962</c:v>
                </c:pt>
                <c:pt idx="40">
                  <c:v>1963</c:v>
                </c:pt>
                <c:pt idx="41">
                  <c:v>1964</c:v>
                </c:pt>
                <c:pt idx="42">
                  <c:v>1965</c:v>
                </c:pt>
                <c:pt idx="43">
                  <c:v>1966</c:v>
                </c:pt>
                <c:pt idx="44">
                  <c:v>1967</c:v>
                </c:pt>
                <c:pt idx="45">
                  <c:v>1968</c:v>
                </c:pt>
                <c:pt idx="46">
                  <c:v>1969</c:v>
                </c:pt>
                <c:pt idx="47">
                  <c:v>1970</c:v>
                </c:pt>
                <c:pt idx="48">
                  <c:v>1971</c:v>
                </c:pt>
                <c:pt idx="49">
                  <c:v>1972</c:v>
                </c:pt>
                <c:pt idx="50">
                  <c:v>1973</c:v>
                </c:pt>
                <c:pt idx="51">
                  <c:v>1974</c:v>
                </c:pt>
                <c:pt idx="52">
                  <c:v>1975</c:v>
                </c:pt>
                <c:pt idx="53">
                  <c:v>1976</c:v>
                </c:pt>
                <c:pt idx="54">
                  <c:v>1977</c:v>
                </c:pt>
                <c:pt idx="55">
                  <c:v>1978</c:v>
                </c:pt>
                <c:pt idx="56">
                  <c:v>1979</c:v>
                </c:pt>
                <c:pt idx="57">
                  <c:v>1980</c:v>
                </c:pt>
                <c:pt idx="58">
                  <c:v>1981</c:v>
                </c:pt>
                <c:pt idx="59">
                  <c:v>1982</c:v>
                </c:pt>
                <c:pt idx="60">
                  <c:v>1983</c:v>
                </c:pt>
                <c:pt idx="61">
                  <c:v>1984</c:v>
                </c:pt>
                <c:pt idx="62">
                  <c:v>1985</c:v>
                </c:pt>
                <c:pt idx="63">
                  <c:v>1986</c:v>
                </c:pt>
                <c:pt idx="64">
                  <c:v>1987</c:v>
                </c:pt>
                <c:pt idx="65">
                  <c:v>1988</c:v>
                </c:pt>
                <c:pt idx="66">
                  <c:v>1989</c:v>
                </c:pt>
                <c:pt idx="67">
                  <c:v>1990</c:v>
                </c:pt>
                <c:pt idx="68">
                  <c:v>1991</c:v>
                </c:pt>
                <c:pt idx="69">
                  <c:v>1992</c:v>
                </c:pt>
                <c:pt idx="70">
                  <c:v>1993</c:v>
                </c:pt>
                <c:pt idx="71">
                  <c:v>1994</c:v>
                </c:pt>
                <c:pt idx="72">
                  <c:v>1995</c:v>
                </c:pt>
                <c:pt idx="73">
                  <c:v>1996</c:v>
                </c:pt>
                <c:pt idx="74">
                  <c:v>1997</c:v>
                </c:pt>
                <c:pt idx="75">
                  <c:v>1998</c:v>
                </c:pt>
                <c:pt idx="76">
                  <c:v>1999</c:v>
                </c:pt>
                <c:pt idx="77">
                  <c:v>2000</c:v>
                </c:pt>
                <c:pt idx="78">
                  <c:v>2001</c:v>
                </c:pt>
                <c:pt idx="79">
                  <c:v>2002</c:v>
                </c:pt>
                <c:pt idx="80">
                  <c:v>2003</c:v>
                </c:pt>
                <c:pt idx="81">
                  <c:v>2004</c:v>
                </c:pt>
                <c:pt idx="82">
                  <c:v>2005</c:v>
                </c:pt>
                <c:pt idx="83">
                  <c:v>2006</c:v>
                </c:pt>
                <c:pt idx="84">
                  <c:v>2007</c:v>
                </c:pt>
                <c:pt idx="85">
                  <c:v>2008</c:v>
                </c:pt>
                <c:pt idx="86">
                  <c:v>2009</c:v>
                </c:pt>
                <c:pt idx="87">
                  <c:v>2010</c:v>
                </c:pt>
                <c:pt idx="88">
                  <c:v>2011</c:v>
                </c:pt>
                <c:pt idx="89">
                  <c:v>2012</c:v>
                </c:pt>
                <c:pt idx="90">
                  <c:v>2013</c:v>
                </c:pt>
                <c:pt idx="91">
                  <c:v>2014</c:v>
                </c:pt>
                <c:pt idx="92">
                  <c:v>2015</c:v>
                </c:pt>
                <c:pt idx="93">
                  <c:v>2016</c:v>
                </c:pt>
                <c:pt idx="94">
                  <c:v>2017</c:v>
                </c:pt>
                <c:pt idx="95">
                  <c:v>2018</c:v>
                </c:pt>
                <c:pt idx="96">
                  <c:v>2019</c:v>
                </c:pt>
                <c:pt idx="97">
                  <c:v>2020</c:v>
                </c:pt>
                <c:pt idx="98">
                  <c:v>2021</c:v>
                </c:pt>
                <c:pt idx="99">
                  <c:v>2022</c:v>
                </c:pt>
                <c:pt idx="100">
                  <c:v>2023</c:v>
                </c:pt>
                <c:pt idx="101">
                  <c:v>2024</c:v>
                </c:pt>
                <c:pt idx="102">
                  <c:v>2025</c:v>
                </c:pt>
              </c:numCache>
            </c:numRef>
          </c:cat>
          <c:val>
            <c:numRef>
              <c:f>'Cigarette  and Tobacco Taxes'!$D$5:$D$107</c:f>
              <c:numCache>
                <c:formatCode>#,##0_);[Red]\(#,##0\)</c:formatCode>
                <c:ptCount val="103"/>
                <c:pt idx="0">
                  <c:v>69000</c:v>
                </c:pt>
                <c:pt idx="1">
                  <c:v>106000</c:v>
                </c:pt>
                <c:pt idx="2">
                  <c:v>61000</c:v>
                </c:pt>
                <c:pt idx="3">
                  <c:v>129000</c:v>
                </c:pt>
                <c:pt idx="4">
                  <c:v>128000</c:v>
                </c:pt>
                <c:pt idx="5">
                  <c:v>136000</c:v>
                </c:pt>
                <c:pt idx="6">
                  <c:v>143000</c:v>
                </c:pt>
                <c:pt idx="7">
                  <c:v>193000</c:v>
                </c:pt>
                <c:pt idx="8">
                  <c:v>197000</c:v>
                </c:pt>
                <c:pt idx="9">
                  <c:v>150251</c:v>
                </c:pt>
                <c:pt idx="10">
                  <c:v>120045</c:v>
                </c:pt>
                <c:pt idx="11">
                  <c:v>189396</c:v>
                </c:pt>
                <c:pt idx="12">
                  <c:v>243165</c:v>
                </c:pt>
                <c:pt idx="13">
                  <c:v>284493</c:v>
                </c:pt>
                <c:pt idx="14">
                  <c:v>326264</c:v>
                </c:pt>
                <c:pt idx="15">
                  <c:v>348473</c:v>
                </c:pt>
                <c:pt idx="16">
                  <c:v>348921</c:v>
                </c:pt>
                <c:pt idx="17">
                  <c:v>380442</c:v>
                </c:pt>
                <c:pt idx="18">
                  <c:v>369427</c:v>
                </c:pt>
                <c:pt idx="19">
                  <c:v>438577</c:v>
                </c:pt>
                <c:pt idx="20">
                  <c:v>634137</c:v>
                </c:pt>
                <c:pt idx="21">
                  <c:v>646326</c:v>
                </c:pt>
                <c:pt idx="22">
                  <c:v>553147</c:v>
                </c:pt>
                <c:pt idx="23">
                  <c:v>757165</c:v>
                </c:pt>
                <c:pt idx="24">
                  <c:v>826940</c:v>
                </c:pt>
                <c:pt idx="25">
                  <c:v>888009</c:v>
                </c:pt>
                <c:pt idx="26">
                  <c:v>903123</c:v>
                </c:pt>
                <c:pt idx="27">
                  <c:v>905489</c:v>
                </c:pt>
                <c:pt idx="28">
                  <c:v>931213</c:v>
                </c:pt>
                <c:pt idx="29">
                  <c:v>951777</c:v>
                </c:pt>
                <c:pt idx="30">
                  <c:v>978855</c:v>
                </c:pt>
                <c:pt idx="31">
                  <c:v>1231463</c:v>
                </c:pt>
                <c:pt idx="32">
                  <c:v>1824278</c:v>
                </c:pt>
                <c:pt idx="33">
                  <c:v>1917469</c:v>
                </c:pt>
                <c:pt idx="34">
                  <c:v>1996378</c:v>
                </c:pt>
                <c:pt idx="35">
                  <c:v>2045613</c:v>
                </c:pt>
                <c:pt idx="36">
                  <c:v>2206133</c:v>
                </c:pt>
                <c:pt idx="37">
                  <c:v>2329515</c:v>
                </c:pt>
                <c:pt idx="38">
                  <c:v>2465414</c:v>
                </c:pt>
                <c:pt idx="39">
                  <c:v>2471708</c:v>
                </c:pt>
                <c:pt idx="40">
                  <c:v>2630727</c:v>
                </c:pt>
                <c:pt idx="41">
                  <c:v>4667788</c:v>
                </c:pt>
                <c:pt idx="42">
                  <c:v>4995076</c:v>
                </c:pt>
                <c:pt idx="43">
                  <c:v>5042644</c:v>
                </c:pt>
                <c:pt idx="44">
                  <c:v>4993168</c:v>
                </c:pt>
                <c:pt idx="45">
                  <c:v>5028470</c:v>
                </c:pt>
                <c:pt idx="46">
                  <c:v>5238619</c:v>
                </c:pt>
                <c:pt idx="47">
                  <c:v>5294104</c:v>
                </c:pt>
                <c:pt idx="48">
                  <c:v>5596549</c:v>
                </c:pt>
                <c:pt idx="49">
                  <c:v>6057789</c:v>
                </c:pt>
                <c:pt idx="50">
                  <c:v>6291683</c:v>
                </c:pt>
                <c:pt idx="51">
                  <c:v>6702487</c:v>
                </c:pt>
                <c:pt idx="52">
                  <c:v>6862185</c:v>
                </c:pt>
                <c:pt idx="53">
                  <c:v>7268563</c:v>
                </c:pt>
                <c:pt idx="54">
                  <c:v>7482565</c:v>
                </c:pt>
                <c:pt idx="55">
                  <c:v>7775024</c:v>
                </c:pt>
                <c:pt idx="56">
                  <c:v>7908215</c:v>
                </c:pt>
                <c:pt idx="57">
                  <c:v>9853608</c:v>
                </c:pt>
                <c:pt idx="58">
                  <c:v>10794895</c:v>
                </c:pt>
                <c:pt idx="59">
                  <c:v>10612198</c:v>
                </c:pt>
                <c:pt idx="60">
                  <c:v>12689134</c:v>
                </c:pt>
                <c:pt idx="61">
                  <c:v>12195759</c:v>
                </c:pt>
                <c:pt idx="62">
                  <c:v>12486660</c:v>
                </c:pt>
                <c:pt idx="63">
                  <c:v>12249017</c:v>
                </c:pt>
                <c:pt idx="64">
                  <c:v>14821945</c:v>
                </c:pt>
                <c:pt idx="65">
                  <c:v>20349552</c:v>
                </c:pt>
                <c:pt idx="66">
                  <c:v>21619249</c:v>
                </c:pt>
                <c:pt idx="67">
                  <c:v>20547525</c:v>
                </c:pt>
                <c:pt idx="68">
                  <c:v>21400323</c:v>
                </c:pt>
                <c:pt idx="69">
                  <c:v>24280511</c:v>
                </c:pt>
                <c:pt idx="70">
                  <c:v>23458288</c:v>
                </c:pt>
                <c:pt idx="71">
                  <c:v>25133853</c:v>
                </c:pt>
                <c:pt idx="72">
                  <c:v>25330565</c:v>
                </c:pt>
                <c:pt idx="73">
                  <c:v>25278089</c:v>
                </c:pt>
                <c:pt idx="74">
                  <c:v>28026713</c:v>
                </c:pt>
                <c:pt idx="75">
                  <c:v>39641568</c:v>
                </c:pt>
                <c:pt idx="76">
                  <c:v>46451563</c:v>
                </c:pt>
                <c:pt idx="77">
                  <c:v>44091793</c:v>
                </c:pt>
                <c:pt idx="78">
                  <c:v>43109511</c:v>
                </c:pt>
                <c:pt idx="79">
                  <c:v>45939385</c:v>
                </c:pt>
                <c:pt idx="80">
                  <c:v>46514400</c:v>
                </c:pt>
                <c:pt idx="81">
                  <c:v>55872618</c:v>
                </c:pt>
                <c:pt idx="82">
                  <c:v>54923019</c:v>
                </c:pt>
                <c:pt idx="83">
                  <c:v>53536256</c:v>
                </c:pt>
                <c:pt idx="84">
                  <c:v>55158637</c:v>
                </c:pt>
                <c:pt idx="85">
                  <c:v>54388888</c:v>
                </c:pt>
                <c:pt idx="86">
                  <c:v>51570477</c:v>
                </c:pt>
                <c:pt idx="87">
                  <c:v>49880937</c:v>
                </c:pt>
                <c:pt idx="88">
                  <c:v>105295235</c:v>
                </c:pt>
                <c:pt idx="89">
                  <c:v>103628107</c:v>
                </c:pt>
                <c:pt idx="90">
                  <c:v>100407080</c:v>
                </c:pt>
                <c:pt idx="91">
                  <c:v>92307578</c:v>
                </c:pt>
                <c:pt idx="92">
                  <c:v>95371197</c:v>
                </c:pt>
                <c:pt idx="93">
                  <c:v>95880329</c:v>
                </c:pt>
                <c:pt idx="94">
                  <c:v>93470535</c:v>
                </c:pt>
                <c:pt idx="95">
                  <c:v>89648009</c:v>
                </c:pt>
                <c:pt idx="96">
                  <c:v>84157715</c:v>
                </c:pt>
                <c:pt idx="97">
                  <c:v>84843627.290000021</c:v>
                </c:pt>
                <c:pt idx="98">
                  <c:v>78539142.379999995</c:v>
                </c:pt>
                <c:pt idx="99">
                  <c:v>74992668.639999986</c:v>
                </c:pt>
                <c:pt idx="100">
                  <c:v>71125417</c:v>
                </c:pt>
                <c:pt idx="101">
                  <c:v>65255019.000000007</c:v>
                </c:pt>
                <c:pt idx="102">
                  <c:v>57230007.450000003</c:v>
                </c:pt>
              </c:numCache>
            </c:numRef>
          </c:val>
          <c:extLst>
            <c:ext xmlns:c16="http://schemas.microsoft.com/office/drawing/2014/chart" uri="{C3380CC4-5D6E-409C-BE32-E72D297353CC}">
              <c16:uniqueId val="{00000000-8629-45E1-984B-9D3949ED5464}"/>
            </c:ext>
          </c:extLst>
        </c:ser>
        <c:ser>
          <c:idx val="1"/>
          <c:order val="1"/>
          <c:tx>
            <c:v>Tobacco Tax</c:v>
          </c:tx>
          <c:spPr>
            <a:pattFill prst="ltVert">
              <a:fgClr>
                <a:srgbClr val="FF0000"/>
              </a:fgClr>
              <a:bgClr>
                <a:srgbClr val="FFFFFF"/>
              </a:bgClr>
            </a:pattFill>
            <a:ln w="12700">
              <a:solidFill>
                <a:srgbClr val="000000"/>
              </a:solidFill>
              <a:prstDash val="solid"/>
            </a:ln>
          </c:spPr>
          <c:cat>
            <c:numRef>
              <c:f>'Cigarette  and Tobacco Taxes'!$A$5:$A$107</c:f>
              <c:numCache>
                <c:formatCode>General</c:formatCode>
                <c:ptCount val="103"/>
                <c:pt idx="0">
                  <c:v>1923</c:v>
                </c:pt>
                <c:pt idx="1">
                  <c:v>1924</c:v>
                </c:pt>
                <c:pt idx="2">
                  <c:v>1925</c:v>
                </c:pt>
                <c:pt idx="3">
                  <c:v>1926</c:v>
                </c:pt>
                <c:pt idx="4">
                  <c:v>1927</c:v>
                </c:pt>
                <c:pt idx="5">
                  <c:v>1928</c:v>
                </c:pt>
                <c:pt idx="6">
                  <c:v>1929</c:v>
                </c:pt>
                <c:pt idx="7">
                  <c:v>1930</c:v>
                </c:pt>
                <c:pt idx="8">
                  <c:v>1931</c:v>
                </c:pt>
                <c:pt idx="9">
                  <c:v>1932</c:v>
                </c:pt>
                <c:pt idx="10">
                  <c:v>1933</c:v>
                </c:pt>
                <c:pt idx="11">
                  <c:v>1934</c:v>
                </c:pt>
                <c:pt idx="12">
                  <c:v>1935</c:v>
                </c:pt>
                <c:pt idx="13">
                  <c:v>1936</c:v>
                </c:pt>
                <c:pt idx="14">
                  <c:v>1937</c:v>
                </c:pt>
                <c:pt idx="15">
                  <c:v>1938</c:v>
                </c:pt>
                <c:pt idx="16">
                  <c:v>1939</c:v>
                </c:pt>
                <c:pt idx="17">
                  <c:v>1940</c:v>
                </c:pt>
                <c:pt idx="18">
                  <c:v>1941</c:v>
                </c:pt>
                <c:pt idx="19">
                  <c:v>1942</c:v>
                </c:pt>
                <c:pt idx="20">
                  <c:v>1943</c:v>
                </c:pt>
                <c:pt idx="21">
                  <c:v>1944</c:v>
                </c:pt>
                <c:pt idx="22">
                  <c:v>1945</c:v>
                </c:pt>
                <c:pt idx="23">
                  <c:v>1946</c:v>
                </c:pt>
                <c:pt idx="24">
                  <c:v>1947</c:v>
                </c:pt>
                <c:pt idx="25">
                  <c:v>1948</c:v>
                </c:pt>
                <c:pt idx="26">
                  <c:v>1949</c:v>
                </c:pt>
                <c:pt idx="27">
                  <c:v>1950</c:v>
                </c:pt>
                <c:pt idx="28">
                  <c:v>1951</c:v>
                </c:pt>
                <c:pt idx="29">
                  <c:v>1952</c:v>
                </c:pt>
                <c:pt idx="30">
                  <c:v>1953</c:v>
                </c:pt>
                <c:pt idx="31">
                  <c:v>1954</c:v>
                </c:pt>
                <c:pt idx="32">
                  <c:v>1955</c:v>
                </c:pt>
                <c:pt idx="33">
                  <c:v>1956</c:v>
                </c:pt>
                <c:pt idx="34">
                  <c:v>1957</c:v>
                </c:pt>
                <c:pt idx="35">
                  <c:v>1958</c:v>
                </c:pt>
                <c:pt idx="36">
                  <c:v>1959</c:v>
                </c:pt>
                <c:pt idx="37">
                  <c:v>1960</c:v>
                </c:pt>
                <c:pt idx="38">
                  <c:v>1961</c:v>
                </c:pt>
                <c:pt idx="39">
                  <c:v>1962</c:v>
                </c:pt>
                <c:pt idx="40">
                  <c:v>1963</c:v>
                </c:pt>
                <c:pt idx="41">
                  <c:v>1964</c:v>
                </c:pt>
                <c:pt idx="42">
                  <c:v>1965</c:v>
                </c:pt>
                <c:pt idx="43">
                  <c:v>1966</c:v>
                </c:pt>
                <c:pt idx="44">
                  <c:v>1967</c:v>
                </c:pt>
                <c:pt idx="45">
                  <c:v>1968</c:v>
                </c:pt>
                <c:pt idx="46">
                  <c:v>1969</c:v>
                </c:pt>
                <c:pt idx="47">
                  <c:v>1970</c:v>
                </c:pt>
                <c:pt idx="48">
                  <c:v>1971</c:v>
                </c:pt>
                <c:pt idx="49">
                  <c:v>1972</c:v>
                </c:pt>
                <c:pt idx="50">
                  <c:v>1973</c:v>
                </c:pt>
                <c:pt idx="51">
                  <c:v>1974</c:v>
                </c:pt>
                <c:pt idx="52">
                  <c:v>1975</c:v>
                </c:pt>
                <c:pt idx="53">
                  <c:v>1976</c:v>
                </c:pt>
                <c:pt idx="54">
                  <c:v>1977</c:v>
                </c:pt>
                <c:pt idx="55">
                  <c:v>1978</c:v>
                </c:pt>
                <c:pt idx="56">
                  <c:v>1979</c:v>
                </c:pt>
                <c:pt idx="57">
                  <c:v>1980</c:v>
                </c:pt>
                <c:pt idx="58">
                  <c:v>1981</c:v>
                </c:pt>
                <c:pt idx="59">
                  <c:v>1982</c:v>
                </c:pt>
                <c:pt idx="60">
                  <c:v>1983</c:v>
                </c:pt>
                <c:pt idx="61">
                  <c:v>1984</c:v>
                </c:pt>
                <c:pt idx="62">
                  <c:v>1985</c:v>
                </c:pt>
                <c:pt idx="63">
                  <c:v>1986</c:v>
                </c:pt>
                <c:pt idx="64">
                  <c:v>1987</c:v>
                </c:pt>
                <c:pt idx="65">
                  <c:v>1988</c:v>
                </c:pt>
                <c:pt idx="66">
                  <c:v>1989</c:v>
                </c:pt>
                <c:pt idx="67">
                  <c:v>1990</c:v>
                </c:pt>
                <c:pt idx="68">
                  <c:v>1991</c:v>
                </c:pt>
                <c:pt idx="69">
                  <c:v>1992</c:v>
                </c:pt>
                <c:pt idx="70">
                  <c:v>1993</c:v>
                </c:pt>
                <c:pt idx="71">
                  <c:v>1994</c:v>
                </c:pt>
                <c:pt idx="72">
                  <c:v>1995</c:v>
                </c:pt>
                <c:pt idx="73">
                  <c:v>1996</c:v>
                </c:pt>
                <c:pt idx="74">
                  <c:v>1997</c:v>
                </c:pt>
                <c:pt idx="75">
                  <c:v>1998</c:v>
                </c:pt>
                <c:pt idx="76">
                  <c:v>1999</c:v>
                </c:pt>
                <c:pt idx="77">
                  <c:v>2000</c:v>
                </c:pt>
                <c:pt idx="78">
                  <c:v>2001</c:v>
                </c:pt>
                <c:pt idx="79">
                  <c:v>2002</c:v>
                </c:pt>
                <c:pt idx="80">
                  <c:v>2003</c:v>
                </c:pt>
                <c:pt idx="81">
                  <c:v>2004</c:v>
                </c:pt>
                <c:pt idx="82">
                  <c:v>2005</c:v>
                </c:pt>
                <c:pt idx="83">
                  <c:v>2006</c:v>
                </c:pt>
                <c:pt idx="84">
                  <c:v>2007</c:v>
                </c:pt>
                <c:pt idx="85">
                  <c:v>2008</c:v>
                </c:pt>
                <c:pt idx="86">
                  <c:v>2009</c:v>
                </c:pt>
                <c:pt idx="87">
                  <c:v>2010</c:v>
                </c:pt>
                <c:pt idx="88">
                  <c:v>2011</c:v>
                </c:pt>
                <c:pt idx="89">
                  <c:v>2012</c:v>
                </c:pt>
                <c:pt idx="90">
                  <c:v>2013</c:v>
                </c:pt>
                <c:pt idx="91">
                  <c:v>2014</c:v>
                </c:pt>
                <c:pt idx="92">
                  <c:v>2015</c:v>
                </c:pt>
                <c:pt idx="93">
                  <c:v>2016</c:v>
                </c:pt>
                <c:pt idx="94">
                  <c:v>2017</c:v>
                </c:pt>
                <c:pt idx="95">
                  <c:v>2018</c:v>
                </c:pt>
                <c:pt idx="96">
                  <c:v>2019</c:v>
                </c:pt>
                <c:pt idx="97">
                  <c:v>2020</c:v>
                </c:pt>
                <c:pt idx="98">
                  <c:v>2021</c:v>
                </c:pt>
                <c:pt idx="99">
                  <c:v>2022</c:v>
                </c:pt>
                <c:pt idx="100">
                  <c:v>2023</c:v>
                </c:pt>
                <c:pt idx="101">
                  <c:v>2024</c:v>
                </c:pt>
                <c:pt idx="102">
                  <c:v>2025</c:v>
                </c:pt>
              </c:numCache>
            </c:numRef>
          </c:cat>
          <c:val>
            <c:numRef>
              <c:f>'Cigarette  and Tobacco Taxes'!$I$5:$I$107</c:f>
              <c:numCache>
                <c:formatCode>General</c:formatCode>
                <c:ptCount val="103"/>
                <c:pt idx="41" formatCode="#,##0_);[Red]\(#,##0\)">
                  <c:v>179658</c:v>
                </c:pt>
                <c:pt idx="42" formatCode="#,##0_);[Red]\(#,##0\)">
                  <c:v>225934</c:v>
                </c:pt>
                <c:pt idx="43" formatCode="#,##0_);[Red]\(#,##0\)">
                  <c:v>193444</c:v>
                </c:pt>
                <c:pt idx="44" formatCode="#,##0_);[Red]\(#,##0\)">
                  <c:v>183155</c:v>
                </c:pt>
                <c:pt idx="45" formatCode="#,##0_);[Red]\(#,##0\)">
                  <c:v>179572</c:v>
                </c:pt>
                <c:pt idx="46" formatCode="#,##0_);[Red]\(#,##0\)">
                  <c:v>182860</c:v>
                </c:pt>
                <c:pt idx="47" formatCode="#,##0_);[Red]\(#,##0\)">
                  <c:v>190836</c:v>
                </c:pt>
                <c:pt idx="48" formatCode="#,##0_);[Red]\(#,##0\)">
                  <c:v>214843</c:v>
                </c:pt>
                <c:pt idx="49" formatCode="#,##0_);[Red]\(#,##0\)">
                  <c:v>223404</c:v>
                </c:pt>
                <c:pt idx="50" formatCode="#,##0_);[Red]\(#,##0\)">
                  <c:v>228956</c:v>
                </c:pt>
                <c:pt idx="51" formatCode="#,##0_);[Red]\(#,##0\)">
                  <c:v>238302</c:v>
                </c:pt>
                <c:pt idx="52" formatCode="#,##0_);[Red]\(#,##0\)">
                  <c:v>267705</c:v>
                </c:pt>
                <c:pt idx="53" formatCode="#,##0_);[Red]\(#,##0\)">
                  <c:v>264266</c:v>
                </c:pt>
                <c:pt idx="54" formatCode="#,##0_);[Red]\(#,##0\)">
                  <c:v>302307</c:v>
                </c:pt>
                <c:pt idx="55" formatCode="#,##0_);[Red]\(#,##0\)">
                  <c:v>314188</c:v>
                </c:pt>
                <c:pt idx="56" formatCode="#,##0_);[Red]\(#,##0\)">
                  <c:v>334527</c:v>
                </c:pt>
                <c:pt idx="57" formatCode="#,##0_);[Red]\(#,##0\)">
                  <c:v>417634</c:v>
                </c:pt>
                <c:pt idx="58" formatCode="#,##0_);[Red]\(#,##0\)">
                  <c:v>498475</c:v>
                </c:pt>
                <c:pt idx="59" formatCode="#,##0_);[Red]\(#,##0\)">
                  <c:v>552768</c:v>
                </c:pt>
                <c:pt idx="60" formatCode="#,##0_);[Red]\(#,##0\)">
                  <c:v>602210</c:v>
                </c:pt>
                <c:pt idx="61" formatCode="#,##0_);[Red]\(#,##0\)">
                  <c:v>668036</c:v>
                </c:pt>
                <c:pt idx="62" formatCode="#,##0_);[Red]\(#,##0\)">
                  <c:v>697269</c:v>
                </c:pt>
                <c:pt idx="63" formatCode="#,##0_);[Red]\(#,##0\)">
                  <c:v>885456</c:v>
                </c:pt>
                <c:pt idx="64" formatCode="#,##0_);[Red]\(#,##0\)">
                  <c:v>1135228</c:v>
                </c:pt>
                <c:pt idx="65" formatCode="#,##0_);[Red]\(#,##0\)">
                  <c:v>1281198</c:v>
                </c:pt>
                <c:pt idx="66" formatCode="#,##0_);[Red]\(#,##0\)">
                  <c:v>1472450</c:v>
                </c:pt>
                <c:pt idx="67" formatCode="#,##0_);[Red]\(#,##0\)">
                  <c:v>1708732</c:v>
                </c:pt>
                <c:pt idx="68" formatCode="#,##0_);[Red]\(#,##0\)">
                  <c:v>1898597</c:v>
                </c:pt>
                <c:pt idx="69" formatCode="#,##0_);[Red]\(#,##0\)">
                  <c:v>1819802</c:v>
                </c:pt>
                <c:pt idx="70" formatCode="#,##0_);[Red]\(#,##0\)">
                  <c:v>2308298</c:v>
                </c:pt>
                <c:pt idx="71" formatCode="#,##0_);[Red]\(#,##0\)">
                  <c:v>2517841</c:v>
                </c:pt>
                <c:pt idx="72" formatCode="#,##0_);[Red]\(#,##0\)">
                  <c:v>3160297</c:v>
                </c:pt>
                <c:pt idx="73" formatCode="#,##0_);[Red]\(#,##0\)">
                  <c:v>3415608</c:v>
                </c:pt>
                <c:pt idx="74" formatCode="#,##0_);[Red]\(#,##0\)">
                  <c:v>3695886</c:v>
                </c:pt>
                <c:pt idx="75" formatCode="#,##0_);[Red]\(#,##0\)">
                  <c:v>4129735</c:v>
                </c:pt>
                <c:pt idx="76" formatCode="#,##0_);[Red]\(#,##0\)">
                  <c:v>4007879</c:v>
                </c:pt>
                <c:pt idx="77" formatCode="#,##0_);[Red]\(#,##0\)">
                  <c:v>4161937</c:v>
                </c:pt>
                <c:pt idx="78" formatCode="#,##0_);[Red]\(#,##0\)">
                  <c:v>4729248</c:v>
                </c:pt>
                <c:pt idx="79" formatCode="#,##0_);[Red]\(#,##0\)">
                  <c:v>5055002</c:v>
                </c:pt>
                <c:pt idx="80" formatCode="#,##0_);[Red]\(#,##0\)">
                  <c:v>5318467</c:v>
                </c:pt>
                <c:pt idx="81" formatCode="#,##0_);[Red]\(#,##0\)">
                  <c:v>5790075</c:v>
                </c:pt>
                <c:pt idx="82" formatCode="#,##0_);[Red]\(#,##0\)">
                  <c:v>6510897</c:v>
                </c:pt>
                <c:pt idx="83" formatCode="#,##0_);[Red]\(#,##0\)">
                  <c:v>6763963</c:v>
                </c:pt>
                <c:pt idx="84" formatCode="#,##0_);[Red]\(#,##0\)">
                  <c:v>7314289</c:v>
                </c:pt>
                <c:pt idx="85" formatCode="#,##0_);[Red]\(#,##0\)">
                  <c:v>7857435</c:v>
                </c:pt>
                <c:pt idx="86" formatCode="#,##0_);[Red]\(#,##0\)">
                  <c:v>8252165</c:v>
                </c:pt>
                <c:pt idx="87" formatCode="#,##0_);[Red]\(#,##0\)">
                  <c:v>8795539</c:v>
                </c:pt>
                <c:pt idx="88" formatCode="#,##0_);[Red]\(#,##0\)">
                  <c:v>19081834</c:v>
                </c:pt>
                <c:pt idx="89" formatCode="#,##0_);[Red]\(#,##0\)">
                  <c:v>20153601</c:v>
                </c:pt>
                <c:pt idx="90" formatCode="#,##0_);[Red]\(#,##0\)">
                  <c:v>19981965</c:v>
                </c:pt>
                <c:pt idx="91" formatCode="#,##0_);[Red]\(#,##0\)">
                  <c:v>20676427</c:v>
                </c:pt>
                <c:pt idx="92" formatCode="#,##0_);[Red]\(#,##0\)">
                  <c:v>20290161</c:v>
                </c:pt>
                <c:pt idx="93" formatCode="#,##0_);[Red]\(#,##0\)">
                  <c:v>21720443</c:v>
                </c:pt>
                <c:pt idx="94" formatCode="#,##0_);[Red]\(#,##0\)">
                  <c:v>21438873</c:v>
                </c:pt>
                <c:pt idx="95" formatCode="#,##0_);[Red]\(#,##0\)">
                  <c:v>22029132</c:v>
                </c:pt>
                <c:pt idx="96" formatCode="#,##0_);[Red]\(#,##0\)">
                  <c:v>21483265</c:v>
                </c:pt>
                <c:pt idx="97" formatCode="#,##0_);[Red]\(#,##0\)">
                  <c:v>21181398.810000002</c:v>
                </c:pt>
                <c:pt idx="98" formatCode="#,##0_);[Red]\(#,##0\)">
                  <c:v>20662181.789999999</c:v>
                </c:pt>
                <c:pt idx="99" formatCode="#,##0_);[Red]\(#,##0\)">
                  <c:v>20887856.199999996</c:v>
                </c:pt>
                <c:pt idx="100" formatCode="#,##0_);[Red]\(#,##0\)">
                  <c:v>19721746</c:v>
                </c:pt>
                <c:pt idx="101" formatCode="#,##0_);[Red]\(#,##0\)">
                  <c:v>21309323.559999999</c:v>
                </c:pt>
                <c:pt idx="102" formatCode="_(* #,##0_);_(* \(#,##0\);_(* &quot;-&quot;??_);_(@_)">
                  <c:v>20378002.270000003</c:v>
                </c:pt>
              </c:numCache>
            </c:numRef>
          </c:val>
          <c:extLst>
            <c:ext xmlns:c16="http://schemas.microsoft.com/office/drawing/2014/chart" uri="{C3380CC4-5D6E-409C-BE32-E72D297353CC}">
              <c16:uniqueId val="{00000001-8629-45E1-984B-9D3949ED5464}"/>
            </c:ext>
          </c:extLst>
        </c:ser>
        <c:dLbls>
          <c:showLegendKey val="0"/>
          <c:showVal val="0"/>
          <c:showCatName val="0"/>
          <c:showSerName val="0"/>
          <c:showPercent val="0"/>
          <c:showBubbleSize val="0"/>
        </c:dLbls>
        <c:axId val="123484032"/>
        <c:axId val="123627776"/>
      </c:areaChart>
      <c:catAx>
        <c:axId val="123484032"/>
        <c:scaling>
          <c:orientation val="minMax"/>
        </c:scaling>
        <c:delete val="0"/>
        <c:axPos val="b"/>
        <c:title>
          <c:tx>
            <c:rich>
              <a:bodyPr/>
              <a:lstStyle/>
              <a:p>
                <a:pPr>
                  <a:defRPr sz="1200" b="1" i="0" u="none" strike="noStrike" baseline="0">
                    <a:solidFill>
                      <a:srgbClr val="000000"/>
                    </a:solidFill>
                    <a:latin typeface="Times New Roman"/>
                    <a:ea typeface="Times New Roman"/>
                    <a:cs typeface="Times New Roman"/>
                  </a:defRPr>
                </a:pPr>
                <a:r>
                  <a:rPr lang="en-US"/>
                  <a:t>Fiscal Year</a:t>
                </a:r>
              </a:p>
            </c:rich>
          </c:tx>
          <c:layout>
            <c:manualLayout>
              <c:xMode val="edge"/>
              <c:yMode val="edge"/>
              <c:x val="0.49160113201811934"/>
              <c:y val="0.91939942734431568"/>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Times New Roman"/>
                <a:ea typeface="Times New Roman"/>
                <a:cs typeface="Times New Roman"/>
              </a:defRPr>
            </a:pPr>
            <a:endParaRPr lang="en-US"/>
          </a:p>
        </c:txPr>
        <c:crossAx val="123627776"/>
        <c:crosses val="autoZero"/>
        <c:auto val="0"/>
        <c:lblAlgn val="ctr"/>
        <c:lblOffset val="100"/>
        <c:tickLblSkip val="4"/>
        <c:tickMarkSkip val="1"/>
        <c:noMultiLvlLbl val="0"/>
      </c:catAx>
      <c:valAx>
        <c:axId val="123627776"/>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Times New Roman"/>
                    <a:ea typeface="Times New Roman"/>
                    <a:cs typeface="Times New Roman"/>
                  </a:defRPr>
                </a:pPr>
                <a:r>
                  <a:rPr lang="en-US"/>
                  <a:t>Tax Collections</a:t>
                </a:r>
              </a:p>
            </c:rich>
          </c:tx>
          <c:layout>
            <c:manualLayout>
              <c:xMode val="edge"/>
              <c:yMode val="edge"/>
              <c:x val="2.25306688566956E-2"/>
              <c:y val="0.37244053588946108"/>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en-US"/>
          </a:p>
        </c:txPr>
        <c:crossAx val="123484032"/>
        <c:crosses val="autoZero"/>
        <c:crossBetween val="midCat"/>
      </c:valAx>
      <c:spPr>
        <a:noFill/>
        <a:ln w="3175">
          <a:solidFill>
            <a:srgbClr val="000000"/>
          </a:solidFill>
          <a:prstDash val="solid"/>
        </a:ln>
      </c:spPr>
    </c:plotArea>
    <c:legend>
      <c:legendPos val="l"/>
      <c:legendEntry>
        <c:idx val="0"/>
        <c:txPr>
          <a:bodyPr/>
          <a:lstStyle/>
          <a:p>
            <a:pPr>
              <a:defRPr sz="1000"/>
            </a:pPr>
            <a:endParaRPr lang="en-US"/>
          </a:p>
        </c:txPr>
      </c:legendEntry>
      <c:legendEntry>
        <c:idx val="1"/>
        <c:txPr>
          <a:bodyPr/>
          <a:lstStyle/>
          <a:p>
            <a:pPr>
              <a:defRPr sz="1000"/>
            </a:pPr>
            <a:endParaRPr lang="en-US"/>
          </a:p>
        </c:txPr>
      </c:legendEntry>
      <c:layout>
        <c:manualLayout>
          <c:xMode val="edge"/>
          <c:yMode val="edge"/>
          <c:x val="0.27810579183178047"/>
          <c:y val="0.17964082092353287"/>
          <c:w val="0.34097554855548318"/>
          <c:h val="0.119996122051826"/>
        </c:manualLayout>
      </c:layout>
      <c:overlay val="1"/>
      <c:spPr>
        <a:solidFill>
          <a:sysClr val="window" lastClr="FFFFFF"/>
        </a:solidFill>
        <a:ln>
          <a:solidFill>
            <a:srgbClr val="000000"/>
          </a:solidFill>
        </a:ln>
      </c:spPr>
    </c:legend>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&amp;L&amp;"Times New Roman,Regular"&amp;8Real numbers are based on using the CPI and population of the previous year.
The CPI base period for real numbers: 1982 to 1984 = 100.&amp;R&amp;"Times New Roman,Regular"&amp;8Economic and Statistical Unit
Utah State Tax Commission</c:oddFooter>
    </c:headerFooter>
    <c:pageMargins b="1" l="0.75000000000000644" r="0.75000000000000644" t="1" header="0.5" footer="0.5"/>
    <c:pageSetup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b="1" i="0" u="none" strike="noStrike" baseline="0">
                <a:solidFill>
                  <a:srgbClr val="000000"/>
                </a:solidFill>
                <a:latin typeface="Times New Roman"/>
                <a:ea typeface="Times New Roman"/>
                <a:cs typeface="Times New Roman"/>
              </a:defRPr>
            </a:pPr>
            <a:r>
              <a:rPr lang="en-US"/>
              <a:t>Total Mine Occupation/Severance Tax: Real Per Capita</a:t>
            </a:r>
          </a:p>
        </c:rich>
      </c:tx>
      <c:layout>
        <c:manualLayout>
          <c:xMode val="edge"/>
          <c:yMode val="edge"/>
          <c:x val="0.15355823490813647"/>
          <c:y val="3.2960345610902324E-2"/>
        </c:manualLayout>
      </c:layout>
      <c:overlay val="0"/>
      <c:spPr>
        <a:noFill/>
        <a:ln w="25400">
          <a:noFill/>
        </a:ln>
      </c:spPr>
    </c:title>
    <c:autoTitleDeleted val="0"/>
    <c:plotArea>
      <c:layout>
        <c:manualLayout>
          <c:layoutTarget val="inner"/>
          <c:xMode val="edge"/>
          <c:yMode val="edge"/>
          <c:x val="0.15175721784777227"/>
          <c:y val="0.13838096284010609"/>
          <c:w val="0.78496538713910768"/>
          <c:h val="0.6721201369608879"/>
        </c:manualLayout>
      </c:layout>
      <c:areaChart>
        <c:grouping val="stacked"/>
        <c:varyColors val="0"/>
        <c:ser>
          <c:idx val="0"/>
          <c:order val="0"/>
          <c:spPr>
            <a:ln>
              <a:solidFill>
                <a:srgbClr val="000000"/>
              </a:solidFill>
            </a:ln>
          </c:spPr>
          <c:cat>
            <c:numRef>
              <c:f>'Mining, Oil &amp; Gas Severance'!$A$5:$A$92</c:f>
              <c:numCache>
                <c:formatCode>General</c:formatCode>
                <c:ptCount val="88"/>
                <c:pt idx="0">
                  <c:v>1938</c:v>
                </c:pt>
                <c:pt idx="1">
                  <c:v>1939</c:v>
                </c:pt>
                <c:pt idx="2">
                  <c:v>1940</c:v>
                </c:pt>
                <c:pt idx="3">
                  <c:v>1941</c:v>
                </c:pt>
                <c:pt idx="4">
                  <c:v>1942</c:v>
                </c:pt>
                <c:pt idx="5">
                  <c:v>1943</c:v>
                </c:pt>
                <c:pt idx="6">
                  <c:v>1944</c:v>
                </c:pt>
                <c:pt idx="7">
                  <c:v>1945</c:v>
                </c:pt>
                <c:pt idx="8">
                  <c:v>1946</c:v>
                </c:pt>
                <c:pt idx="9">
                  <c:v>1947</c:v>
                </c:pt>
                <c:pt idx="10">
                  <c:v>1948</c:v>
                </c:pt>
                <c:pt idx="11">
                  <c:v>1949</c:v>
                </c:pt>
                <c:pt idx="12">
                  <c:v>1950</c:v>
                </c:pt>
                <c:pt idx="13">
                  <c:v>1951</c:v>
                </c:pt>
                <c:pt idx="14">
                  <c:v>1952</c:v>
                </c:pt>
                <c:pt idx="15">
                  <c:v>1953</c:v>
                </c:pt>
                <c:pt idx="16">
                  <c:v>1954</c:v>
                </c:pt>
                <c:pt idx="17">
                  <c:v>1955</c:v>
                </c:pt>
                <c:pt idx="18">
                  <c:v>1956</c:v>
                </c:pt>
                <c:pt idx="19">
                  <c:v>1957</c:v>
                </c:pt>
                <c:pt idx="20">
                  <c:v>1958</c:v>
                </c:pt>
                <c:pt idx="21">
                  <c:v>1959</c:v>
                </c:pt>
                <c:pt idx="22">
                  <c:v>1960</c:v>
                </c:pt>
                <c:pt idx="23">
                  <c:v>1961</c:v>
                </c:pt>
                <c:pt idx="24">
                  <c:v>1962</c:v>
                </c:pt>
                <c:pt idx="25">
                  <c:v>1963</c:v>
                </c:pt>
                <c:pt idx="26">
                  <c:v>1964</c:v>
                </c:pt>
                <c:pt idx="27">
                  <c:v>1965</c:v>
                </c:pt>
                <c:pt idx="28">
                  <c:v>1966</c:v>
                </c:pt>
                <c:pt idx="29">
                  <c:v>1967</c:v>
                </c:pt>
                <c:pt idx="30">
                  <c:v>1968</c:v>
                </c:pt>
                <c:pt idx="31">
                  <c:v>1969</c:v>
                </c:pt>
                <c:pt idx="32">
                  <c:v>1970</c:v>
                </c:pt>
                <c:pt idx="33">
                  <c:v>1971</c:v>
                </c:pt>
                <c:pt idx="34">
                  <c:v>1972</c:v>
                </c:pt>
                <c:pt idx="35">
                  <c:v>1973</c:v>
                </c:pt>
                <c:pt idx="36">
                  <c:v>1974</c:v>
                </c:pt>
                <c:pt idx="37">
                  <c:v>1975</c:v>
                </c:pt>
                <c:pt idx="38">
                  <c:v>1976</c:v>
                </c:pt>
                <c:pt idx="39">
                  <c:v>1977</c:v>
                </c:pt>
                <c:pt idx="40">
                  <c:v>1978</c:v>
                </c:pt>
                <c:pt idx="41">
                  <c:v>1979</c:v>
                </c:pt>
                <c:pt idx="42">
                  <c:v>1980</c:v>
                </c:pt>
                <c:pt idx="43">
                  <c:v>1981</c:v>
                </c:pt>
                <c:pt idx="44">
                  <c:v>1982</c:v>
                </c:pt>
                <c:pt idx="45">
                  <c:v>1983</c:v>
                </c:pt>
                <c:pt idx="46">
                  <c:v>1984</c:v>
                </c:pt>
                <c:pt idx="47">
                  <c:v>1985</c:v>
                </c:pt>
                <c:pt idx="48">
                  <c:v>1986</c:v>
                </c:pt>
                <c:pt idx="49">
                  <c:v>1987</c:v>
                </c:pt>
                <c:pt idx="50">
                  <c:v>1988</c:v>
                </c:pt>
                <c:pt idx="51">
                  <c:v>1989</c:v>
                </c:pt>
                <c:pt idx="52">
                  <c:v>1990</c:v>
                </c:pt>
                <c:pt idx="53">
                  <c:v>1991</c:v>
                </c:pt>
                <c:pt idx="54">
                  <c:v>1992</c:v>
                </c:pt>
                <c:pt idx="55">
                  <c:v>1993</c:v>
                </c:pt>
                <c:pt idx="56">
                  <c:v>1994</c:v>
                </c:pt>
                <c:pt idx="57">
                  <c:v>1995</c:v>
                </c:pt>
                <c:pt idx="58">
                  <c:v>1996</c:v>
                </c:pt>
                <c:pt idx="59">
                  <c:v>1997</c:v>
                </c:pt>
                <c:pt idx="60">
                  <c:v>1998</c:v>
                </c:pt>
                <c:pt idx="61">
                  <c:v>1999</c:v>
                </c:pt>
                <c:pt idx="62">
                  <c:v>2000</c:v>
                </c:pt>
                <c:pt idx="63">
                  <c:v>2001</c:v>
                </c:pt>
                <c:pt idx="64">
                  <c:v>2002</c:v>
                </c:pt>
                <c:pt idx="65">
                  <c:v>2003</c:v>
                </c:pt>
                <c:pt idx="66">
                  <c:v>2004</c:v>
                </c:pt>
                <c:pt idx="67">
                  <c:v>2005</c:v>
                </c:pt>
                <c:pt idx="68">
                  <c:v>2006</c:v>
                </c:pt>
                <c:pt idx="69">
                  <c:v>2007</c:v>
                </c:pt>
                <c:pt idx="70">
                  <c:v>2008</c:v>
                </c:pt>
                <c:pt idx="71">
                  <c:v>2009</c:v>
                </c:pt>
                <c:pt idx="72">
                  <c:v>2010</c:v>
                </c:pt>
                <c:pt idx="73">
                  <c:v>2011</c:v>
                </c:pt>
                <c:pt idx="74">
                  <c:v>2012</c:v>
                </c:pt>
                <c:pt idx="75">
                  <c:v>2013</c:v>
                </c:pt>
                <c:pt idx="76">
                  <c:v>2014</c:v>
                </c:pt>
                <c:pt idx="77">
                  <c:v>2015</c:v>
                </c:pt>
                <c:pt idx="78">
                  <c:v>2016</c:v>
                </c:pt>
                <c:pt idx="79">
                  <c:v>2017</c:v>
                </c:pt>
                <c:pt idx="80">
                  <c:v>2018</c:v>
                </c:pt>
                <c:pt idx="81">
                  <c:v>2019</c:v>
                </c:pt>
                <c:pt idx="82">
                  <c:v>2020</c:v>
                </c:pt>
                <c:pt idx="83">
                  <c:v>2021</c:v>
                </c:pt>
                <c:pt idx="84">
                  <c:v>2022</c:v>
                </c:pt>
                <c:pt idx="85">
                  <c:v>2023</c:v>
                </c:pt>
                <c:pt idx="86">
                  <c:v>2024</c:v>
                </c:pt>
                <c:pt idx="87">
                  <c:v>2025</c:v>
                </c:pt>
              </c:numCache>
            </c:numRef>
          </c:cat>
          <c:val>
            <c:numRef>
              <c:f>'Mining, Oil &amp; Gas Severance'!$D$5:$D$92</c:f>
              <c:numCache>
                <c:formatCode>0.00</c:formatCode>
                <c:ptCount val="88"/>
                <c:pt idx="0">
                  <c:v>6.9970933291245787</c:v>
                </c:pt>
                <c:pt idx="1">
                  <c:v>4.280122252262843</c:v>
                </c:pt>
                <c:pt idx="2">
                  <c:v>6.4030631848112662</c:v>
                </c:pt>
                <c:pt idx="3">
                  <c:v>8.7331072334696831</c:v>
                </c:pt>
                <c:pt idx="4">
                  <c:v>9.7431015963554213</c:v>
                </c:pt>
                <c:pt idx="5">
                  <c:v>8.4978024952312197</c:v>
                </c:pt>
                <c:pt idx="6">
                  <c:v>8.3674313583815021</c:v>
                </c:pt>
                <c:pt idx="7">
                  <c:v>8.0532514244478843</c:v>
                </c:pt>
                <c:pt idx="8">
                  <c:v>6.1942605481053965</c:v>
                </c:pt>
                <c:pt idx="9">
                  <c:v>3.1607266296921468</c:v>
                </c:pt>
                <c:pt idx="10">
                  <c:v>9.5830230984008811</c:v>
                </c:pt>
                <c:pt idx="11">
                  <c:v>8.6661625564741076</c:v>
                </c:pt>
                <c:pt idx="12">
                  <c:v>5.4259243948026432</c:v>
                </c:pt>
                <c:pt idx="13">
                  <c:v>8.4796248805242804</c:v>
                </c:pt>
                <c:pt idx="14">
                  <c:v>9.4329469567396202</c:v>
                </c:pt>
                <c:pt idx="15">
                  <c:v>9.6136818513499414</c:v>
                </c:pt>
                <c:pt idx="16">
                  <c:v>10.629837787328144</c:v>
                </c:pt>
                <c:pt idx="17">
                  <c:v>8.719678826259571</c:v>
                </c:pt>
                <c:pt idx="18">
                  <c:v>11.724430669849525</c:v>
                </c:pt>
                <c:pt idx="19">
                  <c:v>12.574574896724267</c:v>
                </c:pt>
                <c:pt idx="20">
                  <c:v>9.6080757895571001</c:v>
                </c:pt>
                <c:pt idx="21">
                  <c:v>9.8065689904479942</c:v>
                </c:pt>
                <c:pt idx="22">
                  <c:v>14.476826937093135</c:v>
                </c:pt>
                <c:pt idx="23">
                  <c:v>13.519283033033032</c:v>
                </c:pt>
                <c:pt idx="24">
                  <c:v>12.4983599176743</c:v>
                </c:pt>
                <c:pt idx="25">
                  <c:v>8.5586037412379543</c:v>
                </c:pt>
                <c:pt idx="26">
                  <c:v>13.438733878219324</c:v>
                </c:pt>
                <c:pt idx="27">
                  <c:v>10.173349165512237</c:v>
                </c:pt>
                <c:pt idx="28">
                  <c:v>10.761222430445438</c:v>
                </c:pt>
                <c:pt idx="29">
                  <c:v>9.8543815536712795</c:v>
                </c:pt>
                <c:pt idx="30">
                  <c:v>7.8577006928243618</c:v>
                </c:pt>
                <c:pt idx="31">
                  <c:v>8.101621929560002</c:v>
                </c:pt>
                <c:pt idx="32">
                  <c:v>10.876689334259813</c:v>
                </c:pt>
                <c:pt idx="33">
                  <c:v>11.064810158410864</c:v>
                </c:pt>
                <c:pt idx="34">
                  <c:v>8.5899623457630998</c:v>
                </c:pt>
                <c:pt idx="35">
                  <c:v>8.0118186159851863</c:v>
                </c:pt>
                <c:pt idx="36">
                  <c:v>9.6983972295148995</c:v>
                </c:pt>
                <c:pt idx="37">
                  <c:v>9.7771507991872841</c:v>
                </c:pt>
                <c:pt idx="38">
                  <c:v>16.959927886042113</c:v>
                </c:pt>
                <c:pt idx="39">
                  <c:v>11.728485266817765</c:v>
                </c:pt>
                <c:pt idx="40">
                  <c:v>10.59139847644858</c:v>
                </c:pt>
                <c:pt idx="41">
                  <c:v>9.4731810181462368</c:v>
                </c:pt>
                <c:pt idx="42">
                  <c:v>9.5537693983645795</c:v>
                </c:pt>
                <c:pt idx="43">
                  <c:v>12.150026017309743</c:v>
                </c:pt>
                <c:pt idx="44">
                  <c:v>15.026963950520464</c:v>
                </c:pt>
                <c:pt idx="45">
                  <c:v>12.925479058444798</c:v>
                </c:pt>
                <c:pt idx="46">
                  <c:v>22.815165993126111</c:v>
                </c:pt>
                <c:pt idx="47">
                  <c:v>28.012423023655721</c:v>
                </c:pt>
                <c:pt idx="48">
                  <c:v>24.773897146167027</c:v>
                </c:pt>
                <c:pt idx="49">
                  <c:v>11.895132795800397</c:v>
                </c:pt>
                <c:pt idx="50">
                  <c:v>15.295250046164954</c:v>
                </c:pt>
                <c:pt idx="51">
                  <c:v>14.072169841992325</c:v>
                </c:pt>
                <c:pt idx="52">
                  <c:v>14.226725409371099</c:v>
                </c:pt>
                <c:pt idx="53">
                  <c:v>13.723468549178675</c:v>
                </c:pt>
                <c:pt idx="54">
                  <c:v>7.4870597944889044</c:v>
                </c:pt>
                <c:pt idx="55">
                  <c:v>7.4708817009536777</c:v>
                </c:pt>
                <c:pt idx="56">
                  <c:v>6.9125703004701844</c:v>
                </c:pt>
                <c:pt idx="57">
                  <c:v>7.4188413773690494</c:v>
                </c:pt>
                <c:pt idx="58">
                  <c:v>6.820529745258276</c:v>
                </c:pt>
                <c:pt idx="59">
                  <c:v>7.8565449309984015</c:v>
                </c:pt>
                <c:pt idx="60">
                  <c:v>7.2855453049775303</c:v>
                </c:pt>
                <c:pt idx="61">
                  <c:v>3.8335163875484488</c:v>
                </c:pt>
                <c:pt idx="62">
                  <c:v>6.633853342158929</c:v>
                </c:pt>
                <c:pt idx="63">
                  <c:v>12.638784462907985</c:v>
                </c:pt>
                <c:pt idx="64">
                  <c:v>6.7901816724460895</c:v>
                </c:pt>
                <c:pt idx="65">
                  <c:v>8.3921642111050705</c:v>
                </c:pt>
                <c:pt idx="66">
                  <c:v>10.74430002279419</c:v>
                </c:pt>
                <c:pt idx="67">
                  <c:v>15.113884220669741</c:v>
                </c:pt>
                <c:pt idx="68">
                  <c:v>19.114515109816828</c:v>
                </c:pt>
                <c:pt idx="69">
                  <c:v>18.490629995323484</c:v>
                </c:pt>
                <c:pt idx="70">
                  <c:v>18.304039660595304</c:v>
                </c:pt>
                <c:pt idx="71">
                  <c:v>20.279044611379479</c:v>
                </c:pt>
                <c:pt idx="72">
                  <c:v>14.372679969319357</c:v>
                </c:pt>
                <c:pt idx="73">
                  <c:v>15.707081856645146</c:v>
                </c:pt>
                <c:pt idx="74">
                  <c:v>15.715129307427912</c:v>
                </c:pt>
                <c:pt idx="75">
                  <c:v>12.003441769008784</c:v>
                </c:pt>
                <c:pt idx="76">
                  <c:v>16.892228647191221</c:v>
                </c:pt>
                <c:pt idx="77">
                  <c:v>13.667913434697628</c:v>
                </c:pt>
                <c:pt idx="78">
                  <c:v>4.7684992712485483</c:v>
                </c:pt>
                <c:pt idx="79">
                  <c:v>3.5714824499198286</c:v>
                </c:pt>
                <c:pt idx="80">
                  <c:v>4.9954344315316783</c:v>
                </c:pt>
                <c:pt idx="81">
                  <c:v>5.0914674602143117</c:v>
                </c:pt>
                <c:pt idx="82">
                  <c:v>5.7557679494924479</c:v>
                </c:pt>
                <c:pt idx="83">
                  <c:v>3.8906298077309565</c:v>
                </c:pt>
                <c:pt idx="84">
                  <c:v>10.07037166152007</c:v>
                </c:pt>
                <c:pt idx="85">
                  <c:v>12.957350071298455</c:v>
                </c:pt>
                <c:pt idx="86">
                  <c:v>8.3542037697580618</c:v>
                </c:pt>
                <c:pt idx="87">
                  <c:v>9.466588865254483</c:v>
                </c:pt>
              </c:numCache>
            </c:numRef>
          </c:val>
          <c:extLst>
            <c:ext xmlns:c16="http://schemas.microsoft.com/office/drawing/2014/chart" uri="{C3380CC4-5D6E-409C-BE32-E72D297353CC}">
              <c16:uniqueId val="{00000000-2395-4C4E-A671-446E70F5EC6D}"/>
            </c:ext>
          </c:extLst>
        </c:ser>
        <c:dLbls>
          <c:showLegendKey val="0"/>
          <c:showVal val="0"/>
          <c:showCatName val="0"/>
          <c:showSerName val="0"/>
          <c:showPercent val="0"/>
          <c:showBubbleSize val="0"/>
        </c:dLbls>
        <c:axId val="60844288"/>
        <c:axId val="61690240"/>
      </c:areaChart>
      <c:catAx>
        <c:axId val="60844288"/>
        <c:scaling>
          <c:orientation val="minMax"/>
        </c:scaling>
        <c:delete val="0"/>
        <c:axPos val="b"/>
        <c:title>
          <c:tx>
            <c:rich>
              <a:bodyPr/>
              <a:lstStyle/>
              <a:p>
                <a:pPr>
                  <a:defRPr sz="1200" b="1" i="0" u="none" strike="noStrike" baseline="0">
                    <a:solidFill>
                      <a:srgbClr val="000000"/>
                    </a:solidFill>
                    <a:latin typeface="Times New Roman"/>
                    <a:ea typeface="Times New Roman"/>
                    <a:cs typeface="Times New Roman"/>
                  </a:defRPr>
                </a:pPr>
                <a:r>
                  <a:rPr lang="en-US"/>
                  <a:t>Fiscal Year</a:t>
                </a:r>
              </a:p>
            </c:rich>
          </c:tx>
          <c:layout>
            <c:manualLayout>
              <c:xMode val="edge"/>
              <c:yMode val="edge"/>
              <c:x val="0.49160113201811845"/>
              <c:y val="0.91939942734431757"/>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Times New Roman"/>
                <a:ea typeface="Times New Roman"/>
                <a:cs typeface="Times New Roman"/>
              </a:defRPr>
            </a:pPr>
            <a:endParaRPr lang="en-US"/>
          </a:p>
        </c:txPr>
        <c:crossAx val="61690240"/>
        <c:crosses val="autoZero"/>
        <c:auto val="0"/>
        <c:lblAlgn val="ctr"/>
        <c:lblOffset val="100"/>
        <c:tickMarkSkip val="1"/>
        <c:noMultiLvlLbl val="0"/>
      </c:catAx>
      <c:valAx>
        <c:axId val="61690240"/>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Times New Roman"/>
                    <a:ea typeface="Times New Roman"/>
                    <a:cs typeface="Times New Roman"/>
                  </a:defRPr>
                </a:pPr>
                <a:r>
                  <a:rPr lang="en-US"/>
                  <a:t>Real Dollars</a:t>
                </a:r>
              </a:p>
            </c:rich>
          </c:tx>
          <c:layout>
            <c:manualLayout>
              <c:xMode val="edge"/>
              <c:yMode val="edge"/>
              <c:x val="3.2985759409181831E-2"/>
              <c:y val="0.37244046766882144"/>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en-US"/>
          </a:p>
        </c:txPr>
        <c:crossAx val="60844288"/>
        <c:crosses val="autoZero"/>
        <c:crossBetween val="midCat"/>
      </c:valAx>
      <c:spPr>
        <a:noFill/>
        <a:ln w="3175">
          <a:solidFill>
            <a:srgbClr val="00000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&amp;L&amp;"Times New Roman,Regular"&amp;8Real numbers are based on using the CPI and population of the previous year.
The CPI base period for real numbers: 1982 to 1984 = 100.&amp;R&amp;"Times New Roman,Regular"&amp;8Economic and Statistical Unit
Utah State Tax Commission</c:oddFooter>
    </c:headerFooter>
    <c:pageMargins b="1" l="0.75000000000000822" r="0.75000000000000822" t="1" header="0.5" footer="0.5"/>
    <c:pageSetup orientation="landscape" horizontalDpi="300" verticalDpi="30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nchor="b" anchorCtr="0"/>
          <a:lstStyle/>
          <a:p>
            <a:pPr>
              <a:defRPr sz="1400" b="1" i="0" u="none" strike="noStrike" baseline="0">
                <a:solidFill>
                  <a:srgbClr val="000000"/>
                </a:solidFill>
                <a:latin typeface="Times New Roman"/>
                <a:ea typeface="Times New Roman"/>
                <a:cs typeface="Times New Roman"/>
              </a:defRPr>
            </a:pPr>
            <a:r>
              <a:rPr lang="en-US"/>
              <a:t>Total Mine Occupation/</a:t>
            </a:r>
            <a:r>
              <a:rPr lang="en-US" baseline="0"/>
              <a:t>Severance Tax </a:t>
            </a:r>
            <a:r>
              <a:rPr lang="en-US"/>
              <a:t>Collections </a:t>
            </a:r>
          </a:p>
        </c:rich>
      </c:tx>
      <c:layout>
        <c:manualLayout>
          <c:xMode val="edge"/>
          <c:yMode val="edge"/>
          <c:x val="0.22066848539244291"/>
          <c:y val="2.8277393548304629E-2"/>
        </c:manualLayout>
      </c:layout>
      <c:overlay val="0"/>
      <c:spPr>
        <a:noFill/>
        <a:ln w="25400">
          <a:noFill/>
        </a:ln>
      </c:spPr>
    </c:title>
    <c:autoTitleDeleted val="0"/>
    <c:plotArea>
      <c:layout>
        <c:manualLayout>
          <c:layoutTarget val="inner"/>
          <c:xMode val="edge"/>
          <c:yMode val="edge"/>
          <c:x val="0.18866146358990749"/>
          <c:y val="0.13438007805788066"/>
          <c:w val="0.75705792526831661"/>
          <c:h val="0.6752705837492422"/>
        </c:manualLayout>
      </c:layout>
      <c:areaChart>
        <c:grouping val="standard"/>
        <c:varyColors val="0"/>
        <c:ser>
          <c:idx val="0"/>
          <c:order val="0"/>
          <c:tx>
            <c:strRef>
              <c:f>'Mining, Oil &amp; Gas Severance'!$B$4</c:f>
              <c:strCache>
                <c:ptCount val="1"/>
                <c:pt idx="0">
                  <c:v>Mine Occupation, Metal and Oil &amp; Gas Severance General Fund Collections</c:v>
                </c:pt>
              </c:strCache>
            </c:strRef>
          </c:tx>
          <c:spPr>
            <a:solidFill>
              <a:srgbClr val="969696"/>
            </a:solidFill>
            <a:ln w="12700">
              <a:solidFill>
                <a:srgbClr val="000000"/>
              </a:solidFill>
              <a:prstDash val="solid"/>
            </a:ln>
          </c:spPr>
          <c:cat>
            <c:numRef>
              <c:f>'Mining, Oil &amp; Gas Severance'!$A$5:$A$92</c:f>
              <c:numCache>
                <c:formatCode>General</c:formatCode>
                <c:ptCount val="88"/>
                <c:pt idx="0">
                  <c:v>1938</c:v>
                </c:pt>
                <c:pt idx="1">
                  <c:v>1939</c:v>
                </c:pt>
                <c:pt idx="2">
                  <c:v>1940</c:v>
                </c:pt>
                <c:pt idx="3">
                  <c:v>1941</c:v>
                </c:pt>
                <c:pt idx="4">
                  <c:v>1942</c:v>
                </c:pt>
                <c:pt idx="5">
                  <c:v>1943</c:v>
                </c:pt>
                <c:pt idx="6">
                  <c:v>1944</c:v>
                </c:pt>
                <c:pt idx="7">
                  <c:v>1945</c:v>
                </c:pt>
                <c:pt idx="8">
                  <c:v>1946</c:v>
                </c:pt>
                <c:pt idx="9">
                  <c:v>1947</c:v>
                </c:pt>
                <c:pt idx="10">
                  <c:v>1948</c:v>
                </c:pt>
                <c:pt idx="11">
                  <c:v>1949</c:v>
                </c:pt>
                <c:pt idx="12">
                  <c:v>1950</c:v>
                </c:pt>
                <c:pt idx="13">
                  <c:v>1951</c:v>
                </c:pt>
                <c:pt idx="14">
                  <c:v>1952</c:v>
                </c:pt>
                <c:pt idx="15">
                  <c:v>1953</c:v>
                </c:pt>
                <c:pt idx="16">
                  <c:v>1954</c:v>
                </c:pt>
                <c:pt idx="17">
                  <c:v>1955</c:v>
                </c:pt>
                <c:pt idx="18">
                  <c:v>1956</c:v>
                </c:pt>
                <c:pt idx="19">
                  <c:v>1957</c:v>
                </c:pt>
                <c:pt idx="20">
                  <c:v>1958</c:v>
                </c:pt>
                <c:pt idx="21">
                  <c:v>1959</c:v>
                </c:pt>
                <c:pt idx="22">
                  <c:v>1960</c:v>
                </c:pt>
                <c:pt idx="23">
                  <c:v>1961</c:v>
                </c:pt>
                <c:pt idx="24">
                  <c:v>1962</c:v>
                </c:pt>
                <c:pt idx="25">
                  <c:v>1963</c:v>
                </c:pt>
                <c:pt idx="26">
                  <c:v>1964</c:v>
                </c:pt>
                <c:pt idx="27">
                  <c:v>1965</c:v>
                </c:pt>
                <c:pt idx="28">
                  <c:v>1966</c:v>
                </c:pt>
                <c:pt idx="29">
                  <c:v>1967</c:v>
                </c:pt>
                <c:pt idx="30">
                  <c:v>1968</c:v>
                </c:pt>
                <c:pt idx="31">
                  <c:v>1969</c:v>
                </c:pt>
                <c:pt idx="32">
                  <c:v>1970</c:v>
                </c:pt>
                <c:pt idx="33">
                  <c:v>1971</c:v>
                </c:pt>
                <c:pt idx="34">
                  <c:v>1972</c:v>
                </c:pt>
                <c:pt idx="35">
                  <c:v>1973</c:v>
                </c:pt>
                <c:pt idx="36">
                  <c:v>1974</c:v>
                </c:pt>
                <c:pt idx="37">
                  <c:v>1975</c:v>
                </c:pt>
                <c:pt idx="38">
                  <c:v>1976</c:v>
                </c:pt>
                <c:pt idx="39">
                  <c:v>1977</c:v>
                </c:pt>
                <c:pt idx="40">
                  <c:v>1978</c:v>
                </c:pt>
                <c:pt idx="41">
                  <c:v>1979</c:v>
                </c:pt>
                <c:pt idx="42">
                  <c:v>1980</c:v>
                </c:pt>
                <c:pt idx="43">
                  <c:v>1981</c:v>
                </c:pt>
                <c:pt idx="44">
                  <c:v>1982</c:v>
                </c:pt>
                <c:pt idx="45">
                  <c:v>1983</c:v>
                </c:pt>
                <c:pt idx="46">
                  <c:v>1984</c:v>
                </c:pt>
                <c:pt idx="47">
                  <c:v>1985</c:v>
                </c:pt>
                <c:pt idx="48">
                  <c:v>1986</c:v>
                </c:pt>
                <c:pt idx="49">
                  <c:v>1987</c:v>
                </c:pt>
                <c:pt idx="50">
                  <c:v>1988</c:v>
                </c:pt>
                <c:pt idx="51">
                  <c:v>1989</c:v>
                </c:pt>
                <c:pt idx="52">
                  <c:v>1990</c:v>
                </c:pt>
                <c:pt idx="53">
                  <c:v>1991</c:v>
                </c:pt>
                <c:pt idx="54">
                  <c:v>1992</c:v>
                </c:pt>
                <c:pt idx="55">
                  <c:v>1993</c:v>
                </c:pt>
                <c:pt idx="56">
                  <c:v>1994</c:v>
                </c:pt>
                <c:pt idx="57">
                  <c:v>1995</c:v>
                </c:pt>
                <c:pt idx="58">
                  <c:v>1996</c:v>
                </c:pt>
                <c:pt idx="59">
                  <c:v>1997</c:v>
                </c:pt>
                <c:pt idx="60">
                  <c:v>1998</c:v>
                </c:pt>
                <c:pt idx="61">
                  <c:v>1999</c:v>
                </c:pt>
                <c:pt idx="62">
                  <c:v>2000</c:v>
                </c:pt>
                <c:pt idx="63">
                  <c:v>2001</c:v>
                </c:pt>
                <c:pt idx="64">
                  <c:v>2002</c:v>
                </c:pt>
                <c:pt idx="65">
                  <c:v>2003</c:v>
                </c:pt>
                <c:pt idx="66">
                  <c:v>2004</c:v>
                </c:pt>
                <c:pt idx="67">
                  <c:v>2005</c:v>
                </c:pt>
                <c:pt idx="68">
                  <c:v>2006</c:v>
                </c:pt>
                <c:pt idx="69">
                  <c:v>2007</c:v>
                </c:pt>
                <c:pt idx="70">
                  <c:v>2008</c:v>
                </c:pt>
                <c:pt idx="71">
                  <c:v>2009</c:v>
                </c:pt>
                <c:pt idx="72">
                  <c:v>2010</c:v>
                </c:pt>
                <c:pt idx="73">
                  <c:v>2011</c:v>
                </c:pt>
                <c:pt idx="74">
                  <c:v>2012</c:v>
                </c:pt>
                <c:pt idx="75">
                  <c:v>2013</c:v>
                </c:pt>
                <c:pt idx="76">
                  <c:v>2014</c:v>
                </c:pt>
                <c:pt idx="77">
                  <c:v>2015</c:v>
                </c:pt>
                <c:pt idx="78">
                  <c:v>2016</c:v>
                </c:pt>
                <c:pt idx="79">
                  <c:v>2017</c:v>
                </c:pt>
                <c:pt idx="80">
                  <c:v>2018</c:v>
                </c:pt>
                <c:pt idx="81">
                  <c:v>2019</c:v>
                </c:pt>
                <c:pt idx="82">
                  <c:v>2020</c:v>
                </c:pt>
                <c:pt idx="83">
                  <c:v>2021</c:v>
                </c:pt>
                <c:pt idx="84">
                  <c:v>2022</c:v>
                </c:pt>
                <c:pt idx="85">
                  <c:v>2023</c:v>
                </c:pt>
                <c:pt idx="86">
                  <c:v>2024</c:v>
                </c:pt>
                <c:pt idx="87">
                  <c:v>2025</c:v>
                </c:pt>
              </c:numCache>
            </c:numRef>
          </c:cat>
          <c:val>
            <c:numRef>
              <c:f>'Mining, Oil &amp; Gas Severance'!$B$5:$B$92</c:f>
              <c:numCache>
                <c:formatCode>#,##0</c:formatCode>
                <c:ptCount val="88"/>
                <c:pt idx="0">
                  <c:v>532003</c:v>
                </c:pt>
                <c:pt idx="1">
                  <c:v>327699</c:v>
                </c:pt>
                <c:pt idx="2">
                  <c:v>483284</c:v>
                </c:pt>
                <c:pt idx="3">
                  <c:v>674650</c:v>
                </c:pt>
                <c:pt idx="4">
                  <c:v>789162</c:v>
                </c:pt>
                <c:pt idx="5">
                  <c:v>791193</c:v>
                </c:pt>
                <c:pt idx="6">
                  <c:v>926442</c:v>
                </c:pt>
                <c:pt idx="7">
                  <c:v>857085</c:v>
                </c:pt>
                <c:pt idx="8">
                  <c:v>656827</c:v>
                </c:pt>
                <c:pt idx="9">
                  <c:v>393226</c:v>
                </c:pt>
                <c:pt idx="10">
                  <c:v>1359141</c:v>
                </c:pt>
                <c:pt idx="11">
                  <c:v>1363820</c:v>
                </c:pt>
                <c:pt idx="12">
                  <c:v>866251</c:v>
                </c:pt>
                <c:pt idx="13">
                  <c:v>1422134</c:v>
                </c:pt>
                <c:pt idx="14">
                  <c:v>1731757</c:v>
                </c:pt>
                <c:pt idx="15">
                  <c:v>1844481</c:v>
                </c:pt>
                <c:pt idx="16">
                  <c:v>2097689</c:v>
                </c:pt>
                <c:pt idx="17">
                  <c:v>1760368</c:v>
                </c:pt>
                <c:pt idx="18">
                  <c:v>2459673</c:v>
                </c:pt>
                <c:pt idx="19">
                  <c:v>2766326</c:v>
                </c:pt>
                <c:pt idx="20">
                  <c:v>2230902</c:v>
                </c:pt>
                <c:pt idx="21">
                  <c:v>2395380</c:v>
                </c:pt>
                <c:pt idx="22">
                  <c:v>3664677</c:v>
                </c:pt>
                <c:pt idx="23">
                  <c:v>3601537</c:v>
                </c:pt>
                <c:pt idx="24">
                  <c:v>3497841</c:v>
                </c:pt>
                <c:pt idx="25">
                  <c:v>2476141</c:v>
                </c:pt>
                <c:pt idx="26">
                  <c:v>4005334</c:v>
                </c:pt>
                <c:pt idx="27">
                  <c:v>3084356</c:v>
                </c:pt>
                <c:pt idx="28">
                  <c:v>3359277</c:v>
                </c:pt>
                <c:pt idx="29">
                  <c:v>3221555</c:v>
                </c:pt>
                <c:pt idx="30">
                  <c:v>2674337</c:v>
                </c:pt>
                <c:pt idx="31">
                  <c:v>2901126</c:v>
                </c:pt>
                <c:pt idx="32">
                  <c:v>4179357</c:v>
                </c:pt>
                <c:pt idx="33">
                  <c:v>4576494</c:v>
                </c:pt>
                <c:pt idx="34">
                  <c:v>3830829</c:v>
                </c:pt>
                <c:pt idx="35">
                  <c:v>3801382</c:v>
                </c:pt>
                <c:pt idx="36">
                  <c:v>5033602</c:v>
                </c:pt>
                <c:pt idx="37">
                  <c:v>5769461</c:v>
                </c:pt>
                <c:pt idx="38">
                  <c:v>11258648</c:v>
                </c:pt>
                <c:pt idx="39">
                  <c:v>8489036</c:v>
                </c:pt>
                <c:pt idx="40">
                  <c:v>8446277</c:v>
                </c:pt>
                <c:pt idx="41">
                  <c:v>8423221</c:v>
                </c:pt>
                <c:pt idx="42">
                  <c:v>9821081</c:v>
                </c:pt>
                <c:pt idx="43">
                  <c:v>14757130</c:v>
                </c:pt>
                <c:pt idx="44">
                  <c:v>20694158</c:v>
                </c:pt>
                <c:pt idx="45">
                  <c:v>19433070</c:v>
                </c:pt>
                <c:pt idx="46">
                  <c:v>36244629</c:v>
                </c:pt>
                <c:pt idx="47">
                  <c:v>47208160</c:v>
                </c:pt>
                <c:pt idx="48">
                  <c:v>43796980</c:v>
                </c:pt>
                <c:pt idx="49">
                  <c:v>21680640</c:v>
                </c:pt>
                <c:pt idx="50">
                  <c:v>29155928</c:v>
                </c:pt>
                <c:pt idx="51">
                  <c:v>28134067</c:v>
                </c:pt>
                <c:pt idx="52">
                  <c:v>30095784</c:v>
                </c:pt>
                <c:pt idx="53">
                  <c:v>31016407</c:v>
                </c:pt>
                <c:pt idx="54">
                  <c:v>18160200</c:v>
                </c:pt>
                <c:pt idx="55">
                  <c:v>19266829</c:v>
                </c:pt>
                <c:pt idx="56">
                  <c:v>18872512</c:v>
                </c:pt>
                <c:pt idx="57">
                  <c:v>21403658</c:v>
                </c:pt>
                <c:pt idx="58">
                  <c:v>20739372.170000002</c:v>
                </c:pt>
                <c:pt idx="59">
                  <c:v>25182576.530000001</c:v>
                </c:pt>
                <c:pt idx="60">
                  <c:v>24549019.710000001</c:v>
                </c:pt>
                <c:pt idx="61">
                  <c:v>13382269.629999999</c:v>
                </c:pt>
                <c:pt idx="62">
                  <c:v>24237190</c:v>
                </c:pt>
                <c:pt idx="63">
                  <c:v>48892100</c:v>
                </c:pt>
                <c:pt idx="64">
                  <c:v>27545817</c:v>
                </c:pt>
                <c:pt idx="65">
                  <c:v>35204751</c:v>
                </c:pt>
                <c:pt idx="66">
                  <c:v>46902337</c:v>
                </c:pt>
                <c:pt idx="67">
                  <c:v>69383176</c:v>
                </c:pt>
                <c:pt idx="68">
                  <c:v>93544743</c:v>
                </c:pt>
                <c:pt idx="69">
                  <c:v>96034372</c:v>
                </c:pt>
                <c:pt idx="70">
                  <c:v>100044218</c:v>
                </c:pt>
                <c:pt idx="71">
                  <c:v>117498131</c:v>
                </c:pt>
                <c:pt idx="72">
                  <c:v>84226878</c:v>
                </c:pt>
                <c:pt idx="73">
                  <c:v>94964481</c:v>
                </c:pt>
                <c:pt idx="74">
                  <c:v>99759378</c:v>
                </c:pt>
                <c:pt idx="75">
                  <c:v>79023320</c:v>
                </c:pt>
                <c:pt idx="76">
                  <c:v>114356692</c:v>
                </c:pt>
                <c:pt idx="77">
                  <c:v>95355351</c:v>
                </c:pt>
                <c:pt idx="78">
                  <c:v>33949315</c:v>
                </c:pt>
                <c:pt idx="79">
                  <c:v>26250222</c:v>
                </c:pt>
                <c:pt idx="80">
                  <c:v>38234061</c:v>
                </c:pt>
                <c:pt idx="81">
                  <c:v>40609629</c:v>
                </c:pt>
                <c:pt idx="82">
                  <c:v>47545926.61999999</c:v>
                </c:pt>
                <c:pt idx="83">
                  <c:v>33076124.160000004</c:v>
                </c:pt>
                <c:pt idx="84">
                  <c:v>91210089.299999982</c:v>
                </c:pt>
                <c:pt idx="85">
                  <c:v>128947838</c:v>
                </c:pt>
                <c:pt idx="86">
                  <c:v>87986234.099999994</c:v>
                </c:pt>
                <c:pt idx="87">
                  <c:v>104137826.64999998</c:v>
                </c:pt>
              </c:numCache>
            </c:numRef>
          </c:val>
          <c:extLst>
            <c:ext xmlns:c16="http://schemas.microsoft.com/office/drawing/2014/chart" uri="{C3380CC4-5D6E-409C-BE32-E72D297353CC}">
              <c16:uniqueId val="{00000000-3ACB-4224-A788-6D6FDA66881E}"/>
            </c:ext>
          </c:extLst>
        </c:ser>
        <c:dLbls>
          <c:showLegendKey val="0"/>
          <c:showVal val="0"/>
          <c:showCatName val="0"/>
          <c:showSerName val="0"/>
          <c:showPercent val="0"/>
          <c:showBubbleSize val="0"/>
        </c:dLbls>
        <c:axId val="61743872"/>
        <c:axId val="61746176"/>
      </c:areaChart>
      <c:lineChart>
        <c:grouping val="standard"/>
        <c:varyColors val="0"/>
        <c:ser>
          <c:idx val="1"/>
          <c:order val="1"/>
          <c:tx>
            <c:strRef>
              <c:f>'Mining, Oil &amp; Gas Severance'!$C$4</c:f>
              <c:strCache>
                <c:ptCount val="1"/>
                <c:pt idx="0">
                  <c:v>Real Tax Collections</c:v>
                </c:pt>
              </c:strCache>
            </c:strRef>
          </c:tx>
          <c:spPr>
            <a:ln w="12700">
              <a:solidFill>
                <a:srgbClr val="C00000"/>
              </a:solidFill>
              <a:prstDash val="solid"/>
            </a:ln>
          </c:spPr>
          <c:marker>
            <c:symbol val="square"/>
            <c:size val="5"/>
            <c:spPr>
              <a:solidFill>
                <a:srgbClr val="FFFFFF"/>
              </a:solidFill>
              <a:ln>
                <a:solidFill>
                  <a:srgbClr val="FF0000"/>
                </a:solidFill>
                <a:prstDash val="solid"/>
              </a:ln>
            </c:spPr>
          </c:marker>
          <c:val>
            <c:numRef>
              <c:f>'Mining, Oil &amp; Gas Severance'!$C$5:$C$92</c:f>
              <c:numCache>
                <c:formatCode>#,##0</c:formatCode>
                <c:ptCount val="88"/>
                <c:pt idx="0">
                  <c:v>3694465.2777777775</c:v>
                </c:pt>
                <c:pt idx="1">
                  <c:v>2324106.3829787239</c:v>
                </c:pt>
                <c:pt idx="2">
                  <c:v>3476863.3093525176</c:v>
                </c:pt>
                <c:pt idx="3">
                  <c:v>4818928.5714285709</c:v>
                </c:pt>
                <c:pt idx="4">
                  <c:v>5368448.9795918372</c:v>
                </c:pt>
                <c:pt idx="5">
                  <c:v>4853944.785276073</c:v>
                </c:pt>
                <c:pt idx="6">
                  <c:v>5355156.0693641612</c:v>
                </c:pt>
                <c:pt idx="7">
                  <c:v>4869801.1363636358</c:v>
                </c:pt>
                <c:pt idx="8">
                  <c:v>3649038.888888889</c:v>
                </c:pt>
                <c:pt idx="9">
                  <c:v>2016543.5897435897</c:v>
                </c:pt>
                <c:pt idx="10">
                  <c:v>6094802.6905829599</c:v>
                </c:pt>
                <c:pt idx="11">
                  <c:v>5659004.1493775928</c:v>
                </c:pt>
                <c:pt idx="12">
                  <c:v>3639710.0840336131</c:v>
                </c:pt>
                <c:pt idx="13">
                  <c:v>5900970.9543568464</c:v>
                </c:pt>
                <c:pt idx="14">
                  <c:v>6660603.846153846</c:v>
                </c:pt>
                <c:pt idx="15">
                  <c:v>6960305.6603773581</c:v>
                </c:pt>
                <c:pt idx="16">
                  <c:v>7856513.1086142315</c:v>
                </c:pt>
                <c:pt idx="17">
                  <c:v>6544118.9591078078</c:v>
                </c:pt>
                <c:pt idx="18">
                  <c:v>9177884.3283582088</c:v>
                </c:pt>
                <c:pt idx="19">
                  <c:v>10170316.176470587</c:v>
                </c:pt>
                <c:pt idx="20">
                  <c:v>7939153.0249110311</c:v>
                </c:pt>
                <c:pt idx="21">
                  <c:v>8288512.1107266443</c:v>
                </c:pt>
                <c:pt idx="22">
                  <c:v>12593391.752577318</c:v>
                </c:pt>
                <c:pt idx="23">
                  <c:v>12167354.729729729</c:v>
                </c:pt>
                <c:pt idx="24">
                  <c:v>11698464.882943144</c:v>
                </c:pt>
                <c:pt idx="25">
                  <c:v>8199142.3841059608</c:v>
                </c:pt>
                <c:pt idx="26">
                  <c:v>13089326.797385622</c:v>
                </c:pt>
                <c:pt idx="27">
                  <c:v>9949535.4838709682</c:v>
                </c:pt>
                <c:pt idx="28">
                  <c:v>10664371.428571429</c:v>
                </c:pt>
                <c:pt idx="29">
                  <c:v>9943070.9876543209</c:v>
                </c:pt>
                <c:pt idx="30">
                  <c:v>8006997.0059880251</c:v>
                </c:pt>
                <c:pt idx="31">
                  <c:v>8336568.9655172415</c:v>
                </c:pt>
                <c:pt idx="32">
                  <c:v>11387893.732970025</c:v>
                </c:pt>
                <c:pt idx="33">
                  <c:v>11795087.628865981</c:v>
                </c:pt>
                <c:pt idx="34">
                  <c:v>9458837.0370370373</c:v>
                </c:pt>
                <c:pt idx="35">
                  <c:v>9094215.3110047858</c:v>
                </c:pt>
                <c:pt idx="36">
                  <c:v>11336941.441441441</c:v>
                </c:pt>
                <c:pt idx="37">
                  <c:v>11702760.64908722</c:v>
                </c:pt>
                <c:pt idx="38">
                  <c:v>20926855.018587362</c:v>
                </c:pt>
                <c:pt idx="39">
                  <c:v>14919219.683655538</c:v>
                </c:pt>
                <c:pt idx="40">
                  <c:v>13937750.825082509</c:v>
                </c:pt>
                <c:pt idx="41">
                  <c:v>12919050.613496931</c:v>
                </c:pt>
                <c:pt idx="42">
                  <c:v>13527659.779614326</c:v>
                </c:pt>
                <c:pt idx="43">
                  <c:v>17909138.349514563</c:v>
                </c:pt>
                <c:pt idx="44">
                  <c:v>22765850.385038503</c:v>
                </c:pt>
                <c:pt idx="45">
                  <c:v>20137896.373056997</c:v>
                </c:pt>
                <c:pt idx="46">
                  <c:v>36390189.759036146</c:v>
                </c:pt>
                <c:pt idx="47">
                  <c:v>45436150.14436958</c:v>
                </c:pt>
                <c:pt idx="48">
                  <c:v>40703513.011152424</c:v>
                </c:pt>
                <c:pt idx="49">
                  <c:v>19781605.839416061</c:v>
                </c:pt>
                <c:pt idx="50">
                  <c:v>25665429.577464793</c:v>
                </c:pt>
                <c:pt idx="51">
                  <c:v>23781967.032967031</c:v>
                </c:pt>
                <c:pt idx="52">
                  <c:v>24270793.548387095</c:v>
                </c:pt>
                <c:pt idx="53">
                  <c:v>23730992.348890591</c:v>
                </c:pt>
                <c:pt idx="54">
                  <c:v>13333480.176211456</c:v>
                </c:pt>
                <c:pt idx="55">
                  <c:v>13732593.727726301</c:v>
                </c:pt>
                <c:pt idx="56">
                  <c:v>13060561.937716262</c:v>
                </c:pt>
                <c:pt idx="57">
                  <c:v>14442414.304993253</c:v>
                </c:pt>
                <c:pt idx="58">
                  <c:v>13608511.922572179</c:v>
                </c:pt>
                <c:pt idx="59">
                  <c:v>16050080.643722117</c:v>
                </c:pt>
                <c:pt idx="60">
                  <c:v>15295339.383177571</c:v>
                </c:pt>
                <c:pt idx="61">
                  <c:v>8209981.3680981593</c:v>
                </c:pt>
                <c:pt idx="62">
                  <c:v>14548133.253301321</c:v>
                </c:pt>
                <c:pt idx="63">
                  <c:v>28392624.854819976</c:v>
                </c:pt>
                <c:pt idx="64">
                  <c:v>15553821.005081875</c:v>
                </c:pt>
                <c:pt idx="65">
                  <c:v>19569066.703724291</c:v>
                </c:pt>
                <c:pt idx="66">
                  <c:v>25490400.543478258</c:v>
                </c:pt>
                <c:pt idx="67">
                  <c:v>36730109.05240868</c:v>
                </c:pt>
                <c:pt idx="68">
                  <c:v>47897973.886328727</c:v>
                </c:pt>
                <c:pt idx="69">
                  <c:v>47636097.222222224</c:v>
                </c:pt>
                <c:pt idx="70">
                  <c:v>48250821.348303765</c:v>
                </c:pt>
                <c:pt idx="71">
                  <c:v>54573383.092664763</c:v>
                </c:pt>
                <c:pt idx="72">
                  <c:v>39259837.696993984</c:v>
                </c:pt>
                <c:pt idx="73">
                  <c:v>43550501.247385986</c:v>
                </c:pt>
                <c:pt idx="74">
                  <c:v>44349524.982328542</c:v>
                </c:pt>
                <c:pt idx="75">
                  <c:v>34418721.743599571</c:v>
                </c:pt>
                <c:pt idx="76">
                  <c:v>49089184.699322194</c:v>
                </c:pt>
                <c:pt idx="77">
                  <c:v>40279193.278588817</c:v>
                </c:pt>
                <c:pt idx="78">
                  <c:v>14323578.055582512</c:v>
                </c:pt>
                <c:pt idx="79">
                  <c:v>10937250.710915284</c:v>
                </c:pt>
                <c:pt idx="80">
                  <c:v>15598131.115639513</c:v>
                </c:pt>
                <c:pt idx="81">
                  <c:v>16172240.917218555</c:v>
                </c:pt>
                <c:pt idx="82">
                  <c:v>18597509.018902235</c:v>
                </c:pt>
                <c:pt idx="83">
                  <c:v>12780030.276920224</c:v>
                </c:pt>
                <c:pt idx="84">
                  <c:v>33660647.895796381</c:v>
                </c:pt>
                <c:pt idx="85">
                  <c:v>44061382.173549064</c:v>
                </c:pt>
                <c:pt idx="86">
                  <c:v>28876159.034072634</c:v>
                </c:pt>
                <c:pt idx="87">
                  <c:v>33197793.563051298</c:v>
                </c:pt>
              </c:numCache>
            </c:numRef>
          </c:val>
          <c:smooth val="0"/>
          <c:extLst>
            <c:ext xmlns:c16="http://schemas.microsoft.com/office/drawing/2014/chart" uri="{C3380CC4-5D6E-409C-BE32-E72D297353CC}">
              <c16:uniqueId val="{00000001-3ACB-4224-A788-6D6FDA66881E}"/>
            </c:ext>
          </c:extLst>
        </c:ser>
        <c:dLbls>
          <c:showLegendKey val="0"/>
          <c:showVal val="0"/>
          <c:showCatName val="0"/>
          <c:showSerName val="0"/>
          <c:showPercent val="0"/>
          <c:showBubbleSize val="0"/>
        </c:dLbls>
        <c:marker val="1"/>
        <c:smooth val="0"/>
        <c:axId val="61743872"/>
        <c:axId val="61746176"/>
      </c:lineChart>
      <c:catAx>
        <c:axId val="61743872"/>
        <c:scaling>
          <c:orientation val="minMax"/>
        </c:scaling>
        <c:delete val="0"/>
        <c:axPos val="b"/>
        <c:title>
          <c:tx>
            <c:rich>
              <a:bodyPr rot="0" vert="horz" anchor="ctr" anchorCtr="1"/>
              <a:lstStyle/>
              <a:p>
                <a:pPr algn="ctr">
                  <a:defRPr sz="1200" b="1" i="0" u="none" strike="noStrike" baseline="0">
                    <a:solidFill>
                      <a:srgbClr val="000000"/>
                    </a:solidFill>
                    <a:latin typeface="Times New Roman"/>
                    <a:ea typeface="Times New Roman"/>
                    <a:cs typeface="Times New Roman"/>
                  </a:defRPr>
                </a:pPr>
                <a:r>
                  <a:rPr lang="en-US"/>
                  <a:t>Fiscal Year</a:t>
                </a:r>
              </a:p>
            </c:rich>
          </c:tx>
          <c:layout>
            <c:manualLayout>
              <c:xMode val="edge"/>
              <c:yMode val="edge"/>
              <c:x val="0.50326940323682112"/>
              <c:y val="0.92711440481703722"/>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Times New Roman"/>
                <a:ea typeface="Times New Roman"/>
                <a:cs typeface="Times New Roman"/>
              </a:defRPr>
            </a:pPr>
            <a:endParaRPr lang="en-US"/>
          </a:p>
        </c:txPr>
        <c:crossAx val="61746176"/>
        <c:crosses val="autoZero"/>
        <c:auto val="0"/>
        <c:lblAlgn val="ctr"/>
        <c:lblOffset val="100"/>
        <c:tickMarkSkip val="1"/>
        <c:noMultiLvlLbl val="0"/>
      </c:catAx>
      <c:valAx>
        <c:axId val="61746176"/>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Times New Roman"/>
                    <a:ea typeface="Times New Roman"/>
                    <a:cs typeface="Times New Roman"/>
                  </a:defRPr>
                </a:pPr>
                <a:r>
                  <a:rPr lang="en-US"/>
                  <a:t>Collections</a:t>
                </a:r>
              </a:p>
            </c:rich>
          </c:tx>
          <c:layout>
            <c:manualLayout>
              <c:xMode val="edge"/>
              <c:yMode val="edge"/>
              <c:x val="1.4314088481886473E-2"/>
              <c:y val="0.35621334663483806"/>
            </c:manualLayout>
          </c:layout>
          <c:overlay val="0"/>
          <c:spPr>
            <a:noFill/>
            <a:ln w="25400">
              <a:noFill/>
            </a:ln>
          </c:spPr>
        </c:title>
        <c:numFmt formatCode="\$#,##0_);\(\$#,##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en-US"/>
          </a:p>
        </c:txPr>
        <c:crossAx val="61743872"/>
        <c:crosses val="autoZero"/>
        <c:crossBetween val="midCat"/>
      </c:valAx>
      <c:spPr>
        <a:noFill/>
        <a:ln w="3175">
          <a:solidFill>
            <a:srgbClr val="000000"/>
          </a:solidFill>
          <a:prstDash val="solid"/>
        </a:ln>
      </c:spPr>
    </c:plotArea>
    <c:legend>
      <c:legendPos val="r"/>
      <c:layout>
        <c:manualLayout>
          <c:xMode val="edge"/>
          <c:yMode val="edge"/>
          <c:x val="0.20872822715342662"/>
          <c:y val="0.17011626940297644"/>
          <c:w val="0.55415101325501426"/>
          <c:h val="0.14583981216091421"/>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oddHeader>&amp;A</c:oddHeader>
      <c:oddFooter>&amp;L&amp;"Times New Roman,Regular"&amp;8Real numbers are based on using the CPI of the previous year.
The CPI base period for real numbers: 1982 to 1984 = 100.&amp;R&amp;"Times New Roman,Regular"&amp;8Economic and Statistical Unit
Utah State Tax Commission</c:oddFooter>
    </c:headerFooter>
    <c:pageMargins b="1" l="0.75000000000000921" r="0.75000000000000921" t="1" header="0.5" footer="0.5"/>
    <c:pageSetup orientation="landscape" horizontalDpi="300" verticalDpi="300"/>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b="1" i="0" u="none" strike="noStrike" baseline="0">
                <a:solidFill>
                  <a:srgbClr val="000000"/>
                </a:solidFill>
                <a:latin typeface="Times New Roman"/>
                <a:ea typeface="Times New Roman"/>
                <a:cs typeface="Times New Roman"/>
              </a:defRPr>
            </a:pPr>
            <a:r>
              <a:rPr lang="en-US"/>
              <a:t>Cigarette and Tobacco Tax: Real Collections</a:t>
            </a:r>
          </a:p>
        </c:rich>
      </c:tx>
      <c:layout>
        <c:manualLayout>
          <c:xMode val="edge"/>
          <c:yMode val="edge"/>
          <c:x val="0.24095363835535274"/>
          <c:y val="3.0092561465394772E-2"/>
        </c:manualLayout>
      </c:layout>
      <c:overlay val="0"/>
      <c:spPr>
        <a:noFill/>
        <a:ln w="25400">
          <a:noFill/>
        </a:ln>
      </c:spPr>
    </c:title>
    <c:autoTitleDeleted val="0"/>
    <c:plotArea>
      <c:layout>
        <c:manualLayout>
          <c:layoutTarget val="inner"/>
          <c:xMode val="edge"/>
          <c:yMode val="edge"/>
          <c:x val="0.1998507307377452"/>
          <c:y val="0.13838096284010609"/>
          <c:w val="0.73687184576892661"/>
          <c:h val="0.67212013696088413"/>
        </c:manualLayout>
      </c:layout>
      <c:areaChart>
        <c:grouping val="stacked"/>
        <c:varyColors val="0"/>
        <c:ser>
          <c:idx val="0"/>
          <c:order val="0"/>
          <c:tx>
            <c:v>Real Cigarette Tax</c:v>
          </c:tx>
          <c:spPr>
            <a:ln>
              <a:solidFill>
                <a:srgbClr val="000000"/>
              </a:solidFill>
            </a:ln>
          </c:spPr>
          <c:cat>
            <c:numRef>
              <c:f>'Cigarette  and Tobacco Taxes'!$A$5:$A$107</c:f>
              <c:numCache>
                <c:formatCode>General</c:formatCode>
                <c:ptCount val="103"/>
                <c:pt idx="0">
                  <c:v>1923</c:v>
                </c:pt>
                <c:pt idx="1">
                  <c:v>1924</c:v>
                </c:pt>
                <c:pt idx="2">
                  <c:v>1925</c:v>
                </c:pt>
                <c:pt idx="3">
                  <c:v>1926</c:v>
                </c:pt>
                <c:pt idx="4">
                  <c:v>1927</c:v>
                </c:pt>
                <c:pt idx="5">
                  <c:v>1928</c:v>
                </c:pt>
                <c:pt idx="6">
                  <c:v>1929</c:v>
                </c:pt>
                <c:pt idx="7">
                  <c:v>1930</c:v>
                </c:pt>
                <c:pt idx="8">
                  <c:v>1931</c:v>
                </c:pt>
                <c:pt idx="9">
                  <c:v>1932</c:v>
                </c:pt>
                <c:pt idx="10">
                  <c:v>1933</c:v>
                </c:pt>
                <c:pt idx="11">
                  <c:v>1934</c:v>
                </c:pt>
                <c:pt idx="12">
                  <c:v>1935</c:v>
                </c:pt>
                <c:pt idx="13">
                  <c:v>1936</c:v>
                </c:pt>
                <c:pt idx="14">
                  <c:v>1937</c:v>
                </c:pt>
                <c:pt idx="15">
                  <c:v>1938</c:v>
                </c:pt>
                <c:pt idx="16">
                  <c:v>1939</c:v>
                </c:pt>
                <c:pt idx="17">
                  <c:v>1940</c:v>
                </c:pt>
                <c:pt idx="18">
                  <c:v>1941</c:v>
                </c:pt>
                <c:pt idx="19">
                  <c:v>1942</c:v>
                </c:pt>
                <c:pt idx="20">
                  <c:v>1943</c:v>
                </c:pt>
                <c:pt idx="21">
                  <c:v>1944</c:v>
                </c:pt>
                <c:pt idx="22">
                  <c:v>1945</c:v>
                </c:pt>
                <c:pt idx="23">
                  <c:v>1946</c:v>
                </c:pt>
                <c:pt idx="24">
                  <c:v>1947</c:v>
                </c:pt>
                <c:pt idx="25">
                  <c:v>1948</c:v>
                </c:pt>
                <c:pt idx="26">
                  <c:v>1949</c:v>
                </c:pt>
                <c:pt idx="27">
                  <c:v>1950</c:v>
                </c:pt>
                <c:pt idx="28">
                  <c:v>1951</c:v>
                </c:pt>
                <c:pt idx="29">
                  <c:v>1952</c:v>
                </c:pt>
                <c:pt idx="30">
                  <c:v>1953</c:v>
                </c:pt>
                <c:pt idx="31">
                  <c:v>1954</c:v>
                </c:pt>
                <c:pt idx="32">
                  <c:v>1955</c:v>
                </c:pt>
                <c:pt idx="33">
                  <c:v>1956</c:v>
                </c:pt>
                <c:pt idx="34">
                  <c:v>1957</c:v>
                </c:pt>
                <c:pt idx="35">
                  <c:v>1958</c:v>
                </c:pt>
                <c:pt idx="36">
                  <c:v>1959</c:v>
                </c:pt>
                <c:pt idx="37">
                  <c:v>1960</c:v>
                </c:pt>
                <c:pt idx="38">
                  <c:v>1961</c:v>
                </c:pt>
                <c:pt idx="39">
                  <c:v>1962</c:v>
                </c:pt>
                <c:pt idx="40">
                  <c:v>1963</c:v>
                </c:pt>
                <c:pt idx="41">
                  <c:v>1964</c:v>
                </c:pt>
                <c:pt idx="42">
                  <c:v>1965</c:v>
                </c:pt>
                <c:pt idx="43">
                  <c:v>1966</c:v>
                </c:pt>
                <c:pt idx="44">
                  <c:v>1967</c:v>
                </c:pt>
                <c:pt idx="45">
                  <c:v>1968</c:v>
                </c:pt>
                <c:pt idx="46">
                  <c:v>1969</c:v>
                </c:pt>
                <c:pt idx="47">
                  <c:v>1970</c:v>
                </c:pt>
                <c:pt idx="48">
                  <c:v>1971</c:v>
                </c:pt>
                <c:pt idx="49">
                  <c:v>1972</c:v>
                </c:pt>
                <c:pt idx="50">
                  <c:v>1973</c:v>
                </c:pt>
                <c:pt idx="51">
                  <c:v>1974</c:v>
                </c:pt>
                <c:pt idx="52">
                  <c:v>1975</c:v>
                </c:pt>
                <c:pt idx="53">
                  <c:v>1976</c:v>
                </c:pt>
                <c:pt idx="54">
                  <c:v>1977</c:v>
                </c:pt>
                <c:pt idx="55">
                  <c:v>1978</c:v>
                </c:pt>
                <c:pt idx="56">
                  <c:v>1979</c:v>
                </c:pt>
                <c:pt idx="57">
                  <c:v>1980</c:v>
                </c:pt>
                <c:pt idx="58">
                  <c:v>1981</c:v>
                </c:pt>
                <c:pt idx="59">
                  <c:v>1982</c:v>
                </c:pt>
                <c:pt idx="60">
                  <c:v>1983</c:v>
                </c:pt>
                <c:pt idx="61">
                  <c:v>1984</c:v>
                </c:pt>
                <c:pt idx="62">
                  <c:v>1985</c:v>
                </c:pt>
                <c:pt idx="63">
                  <c:v>1986</c:v>
                </c:pt>
                <c:pt idx="64">
                  <c:v>1987</c:v>
                </c:pt>
                <c:pt idx="65">
                  <c:v>1988</c:v>
                </c:pt>
                <c:pt idx="66">
                  <c:v>1989</c:v>
                </c:pt>
                <c:pt idx="67">
                  <c:v>1990</c:v>
                </c:pt>
                <c:pt idx="68">
                  <c:v>1991</c:v>
                </c:pt>
                <c:pt idx="69">
                  <c:v>1992</c:v>
                </c:pt>
                <c:pt idx="70">
                  <c:v>1993</c:v>
                </c:pt>
                <c:pt idx="71">
                  <c:v>1994</c:v>
                </c:pt>
                <c:pt idx="72">
                  <c:v>1995</c:v>
                </c:pt>
                <c:pt idx="73">
                  <c:v>1996</c:v>
                </c:pt>
                <c:pt idx="74">
                  <c:v>1997</c:v>
                </c:pt>
                <c:pt idx="75">
                  <c:v>1998</c:v>
                </c:pt>
                <c:pt idx="76">
                  <c:v>1999</c:v>
                </c:pt>
                <c:pt idx="77">
                  <c:v>2000</c:v>
                </c:pt>
                <c:pt idx="78">
                  <c:v>2001</c:v>
                </c:pt>
                <c:pt idx="79">
                  <c:v>2002</c:v>
                </c:pt>
                <c:pt idx="80">
                  <c:v>2003</c:v>
                </c:pt>
                <c:pt idx="81">
                  <c:v>2004</c:v>
                </c:pt>
                <c:pt idx="82">
                  <c:v>2005</c:v>
                </c:pt>
                <c:pt idx="83">
                  <c:v>2006</c:v>
                </c:pt>
                <c:pt idx="84">
                  <c:v>2007</c:v>
                </c:pt>
                <c:pt idx="85">
                  <c:v>2008</c:v>
                </c:pt>
                <c:pt idx="86">
                  <c:v>2009</c:v>
                </c:pt>
                <c:pt idx="87">
                  <c:v>2010</c:v>
                </c:pt>
                <c:pt idx="88">
                  <c:v>2011</c:v>
                </c:pt>
                <c:pt idx="89">
                  <c:v>2012</c:v>
                </c:pt>
                <c:pt idx="90">
                  <c:v>2013</c:v>
                </c:pt>
                <c:pt idx="91">
                  <c:v>2014</c:v>
                </c:pt>
                <c:pt idx="92">
                  <c:v>2015</c:v>
                </c:pt>
                <c:pt idx="93">
                  <c:v>2016</c:v>
                </c:pt>
                <c:pt idx="94">
                  <c:v>2017</c:v>
                </c:pt>
                <c:pt idx="95">
                  <c:v>2018</c:v>
                </c:pt>
                <c:pt idx="96">
                  <c:v>2019</c:v>
                </c:pt>
                <c:pt idx="97">
                  <c:v>2020</c:v>
                </c:pt>
                <c:pt idx="98">
                  <c:v>2021</c:v>
                </c:pt>
                <c:pt idx="99">
                  <c:v>2022</c:v>
                </c:pt>
                <c:pt idx="100">
                  <c:v>2023</c:v>
                </c:pt>
                <c:pt idx="101">
                  <c:v>2024</c:v>
                </c:pt>
                <c:pt idx="102">
                  <c:v>2025</c:v>
                </c:pt>
              </c:numCache>
            </c:numRef>
          </c:cat>
          <c:val>
            <c:numRef>
              <c:f>'Cigarette  and Tobacco Taxes'!$E$5:$E$107</c:f>
              <c:numCache>
                <c:formatCode>#,##0_);[Red]\(#,##0\)</c:formatCode>
                <c:ptCount val="103"/>
                <c:pt idx="0">
                  <c:v>410714.28571428568</c:v>
                </c:pt>
                <c:pt idx="1">
                  <c:v>619883.04093567247</c:v>
                </c:pt>
                <c:pt idx="2">
                  <c:v>356725.14619883039</c:v>
                </c:pt>
                <c:pt idx="3">
                  <c:v>737142.85714285716</c:v>
                </c:pt>
                <c:pt idx="4">
                  <c:v>723163.84180790966</c:v>
                </c:pt>
                <c:pt idx="5">
                  <c:v>781609.19540229894</c:v>
                </c:pt>
                <c:pt idx="6">
                  <c:v>836257.30994152045</c:v>
                </c:pt>
                <c:pt idx="7">
                  <c:v>1128654.9707602339</c:v>
                </c:pt>
                <c:pt idx="8">
                  <c:v>1179640.7185628742</c:v>
                </c:pt>
                <c:pt idx="9">
                  <c:v>988493.42105263157</c:v>
                </c:pt>
                <c:pt idx="10">
                  <c:v>876240.87591240893</c:v>
                </c:pt>
                <c:pt idx="11">
                  <c:v>1456892.3076923077</c:v>
                </c:pt>
                <c:pt idx="12">
                  <c:v>1814664.1791044774</c:v>
                </c:pt>
                <c:pt idx="13">
                  <c:v>2076591.2408759126</c:v>
                </c:pt>
                <c:pt idx="14">
                  <c:v>2347223.0215827334</c:v>
                </c:pt>
                <c:pt idx="15">
                  <c:v>2419951.3888888885</c:v>
                </c:pt>
                <c:pt idx="16">
                  <c:v>2474617.021276596</c:v>
                </c:pt>
                <c:pt idx="17">
                  <c:v>2736992.8057553954</c:v>
                </c:pt>
                <c:pt idx="18">
                  <c:v>2638764.2857142854</c:v>
                </c:pt>
                <c:pt idx="19">
                  <c:v>2983517.0068027214</c:v>
                </c:pt>
                <c:pt idx="20">
                  <c:v>3890411.0429447852</c:v>
                </c:pt>
                <c:pt idx="21">
                  <c:v>3735988.4393063579</c:v>
                </c:pt>
                <c:pt idx="22">
                  <c:v>3142880.6818181816</c:v>
                </c:pt>
                <c:pt idx="23">
                  <c:v>4206472.222222222</c:v>
                </c:pt>
                <c:pt idx="24">
                  <c:v>4240717.948717949</c:v>
                </c:pt>
                <c:pt idx="25">
                  <c:v>3982103.1390134529</c:v>
                </c:pt>
                <c:pt idx="26">
                  <c:v>3747398.3402489624</c:v>
                </c:pt>
                <c:pt idx="27">
                  <c:v>3804575.6302521005</c:v>
                </c:pt>
                <c:pt idx="28">
                  <c:v>3863954.3568464727</c:v>
                </c:pt>
                <c:pt idx="29">
                  <c:v>3660680.769230769</c:v>
                </c:pt>
                <c:pt idx="30">
                  <c:v>3693792.4528301884</c:v>
                </c:pt>
                <c:pt idx="31">
                  <c:v>4612220.9737827713</c:v>
                </c:pt>
                <c:pt idx="32">
                  <c:v>6781702.6022304846</c:v>
                </c:pt>
                <c:pt idx="33">
                  <c:v>7154735.0746268649</c:v>
                </c:pt>
                <c:pt idx="34">
                  <c:v>7339624.9999999991</c:v>
                </c:pt>
                <c:pt idx="35">
                  <c:v>7279761.5658362983</c:v>
                </c:pt>
                <c:pt idx="36">
                  <c:v>7633678.2006920418</c:v>
                </c:pt>
                <c:pt idx="37">
                  <c:v>8005206.1855670093</c:v>
                </c:pt>
                <c:pt idx="38">
                  <c:v>8329101.3513513505</c:v>
                </c:pt>
                <c:pt idx="39">
                  <c:v>8266581.9397993311</c:v>
                </c:pt>
                <c:pt idx="40">
                  <c:v>8711016.5562913902</c:v>
                </c:pt>
                <c:pt idx="41">
                  <c:v>15254209.150326798</c:v>
                </c:pt>
                <c:pt idx="42">
                  <c:v>16113148.387096774</c:v>
                </c:pt>
                <c:pt idx="43">
                  <c:v>16008393.650793651</c:v>
                </c:pt>
                <c:pt idx="44">
                  <c:v>15411012.345679011</c:v>
                </c:pt>
                <c:pt idx="45">
                  <c:v>15055299.401197607</c:v>
                </c:pt>
                <c:pt idx="46">
                  <c:v>15053502.873563219</c:v>
                </c:pt>
                <c:pt idx="47">
                  <c:v>14425351.4986376</c:v>
                </c:pt>
                <c:pt idx="48">
                  <c:v>14424095.360824743</c:v>
                </c:pt>
                <c:pt idx="49">
                  <c:v>14957503.703703703</c:v>
                </c:pt>
                <c:pt idx="50">
                  <c:v>15051873.205741627</c:v>
                </c:pt>
                <c:pt idx="51">
                  <c:v>15095691.441441441</c:v>
                </c:pt>
                <c:pt idx="52">
                  <c:v>13919239.35091278</c:v>
                </c:pt>
                <c:pt idx="53">
                  <c:v>13510340.148698887</c:v>
                </c:pt>
                <c:pt idx="54">
                  <c:v>13150377.855887523</c:v>
                </c:pt>
                <c:pt idx="55">
                  <c:v>12830072.607260726</c:v>
                </c:pt>
                <c:pt idx="56">
                  <c:v>12129164.110429447</c:v>
                </c:pt>
                <c:pt idx="57">
                  <c:v>13572462.809917355</c:v>
                </c:pt>
                <c:pt idx="58">
                  <c:v>13100600.728155339</c:v>
                </c:pt>
                <c:pt idx="59">
                  <c:v>11674585.258525852</c:v>
                </c:pt>
                <c:pt idx="60">
                  <c:v>13149361.658031089</c:v>
                </c:pt>
                <c:pt idx="61">
                  <c:v>12244737.951807229</c:v>
                </c:pt>
                <c:pt idx="62">
                  <c:v>12017959.576515879</c:v>
                </c:pt>
                <c:pt idx="63">
                  <c:v>11383844.795539035</c:v>
                </c:pt>
                <c:pt idx="64">
                  <c:v>13523672.445255477</c:v>
                </c:pt>
                <c:pt idx="65">
                  <c:v>17913338.028169017</c:v>
                </c:pt>
                <c:pt idx="66">
                  <c:v>18274935.756551139</c:v>
                </c:pt>
                <c:pt idx="67">
                  <c:v>16570584.677419355</c:v>
                </c:pt>
                <c:pt idx="68">
                  <c:v>16373621.270084163</c:v>
                </c:pt>
                <c:pt idx="69">
                  <c:v>17827100.587371513</c:v>
                </c:pt>
                <c:pt idx="70">
                  <c:v>16720091.233071988</c:v>
                </c:pt>
                <c:pt idx="71">
                  <c:v>17393669.896193773</c:v>
                </c:pt>
                <c:pt idx="72">
                  <c:v>17092149.122807018</c:v>
                </c:pt>
                <c:pt idx="73">
                  <c:v>16586672.572178477</c:v>
                </c:pt>
                <c:pt idx="74">
                  <c:v>17862787.12555768</c:v>
                </c:pt>
                <c:pt idx="75">
                  <c:v>24698796.261682242</c:v>
                </c:pt>
                <c:pt idx="76">
                  <c:v>28497891.411042947</c:v>
                </c:pt>
                <c:pt idx="77">
                  <c:v>26465662.06482593</c:v>
                </c:pt>
                <c:pt idx="78">
                  <c:v>25034559.233449478</c:v>
                </c:pt>
                <c:pt idx="79">
                  <c:v>25939799.54827781</c:v>
                </c:pt>
                <c:pt idx="80">
                  <c:v>25855697.60978321</c:v>
                </c:pt>
                <c:pt idx="81">
                  <c:v>30365553.260869563</c:v>
                </c:pt>
                <c:pt idx="82">
                  <c:v>29075182.106934886</c:v>
                </c:pt>
                <c:pt idx="83">
                  <c:v>27412317.460317459</c:v>
                </c:pt>
                <c:pt idx="84">
                  <c:v>27360435.019841269</c:v>
                </c:pt>
                <c:pt idx="85">
                  <c:v>26231486.143666022</c:v>
                </c:pt>
                <c:pt idx="86">
                  <c:v>23952512.041169889</c:v>
                </c:pt>
                <c:pt idx="87">
                  <c:v>23250505.507208545</c:v>
                </c:pt>
                <c:pt idx="88">
                  <c:v>48288162.215210766</c:v>
                </c:pt>
                <c:pt idx="89">
                  <c:v>46069426.377817988</c:v>
                </c:pt>
                <c:pt idx="90">
                  <c:v>43732449.454254031</c:v>
                </c:pt>
                <c:pt idx="91">
                  <c:v>39624298.904948123</c:v>
                </c:pt>
                <c:pt idx="92">
                  <c:v>40285886.810624495</c:v>
                </c:pt>
                <c:pt idx="93">
                  <c:v>40452933.333895884</c:v>
                </c:pt>
                <c:pt idx="94">
                  <c:v>38944839.223774262</c:v>
                </c:pt>
                <c:pt idx="95">
                  <c:v>36573185.323893033</c:v>
                </c:pt>
                <c:pt idx="96">
                  <c:v>33514682.983747963</c:v>
                </c:pt>
                <c:pt idx="97">
                  <c:v>33186441.739436552</c:v>
                </c:pt>
                <c:pt idx="98">
                  <c:v>30346137.675755661</c:v>
                </c:pt>
                <c:pt idx="99">
                  <c:v>27675686.245130904</c:v>
                </c:pt>
                <c:pt idx="100">
                  <c:v>24303503.100920882</c:v>
                </c:pt>
                <c:pt idx="101">
                  <c:v>21416012.69437024</c:v>
                </c:pt>
                <c:pt idx="102">
                  <c:v>18244186.901676502</c:v>
                </c:pt>
              </c:numCache>
            </c:numRef>
          </c:val>
          <c:extLst>
            <c:ext xmlns:c16="http://schemas.microsoft.com/office/drawing/2014/chart" uri="{C3380CC4-5D6E-409C-BE32-E72D297353CC}">
              <c16:uniqueId val="{00000000-5DB3-47EC-A1DF-46CDE61D03F7}"/>
            </c:ext>
          </c:extLst>
        </c:ser>
        <c:ser>
          <c:idx val="1"/>
          <c:order val="1"/>
          <c:tx>
            <c:v>Real Tobacco Tax</c:v>
          </c:tx>
          <c:spPr>
            <a:pattFill prst="ltVert">
              <a:fgClr>
                <a:srgbClr val="FF0000"/>
              </a:fgClr>
              <a:bgClr>
                <a:srgbClr val="FFFFFF"/>
              </a:bgClr>
            </a:pattFill>
            <a:ln w="12700">
              <a:solidFill>
                <a:srgbClr val="000000"/>
              </a:solidFill>
              <a:prstDash val="solid"/>
            </a:ln>
          </c:spPr>
          <c:cat>
            <c:numRef>
              <c:f>'Cigarette  and Tobacco Taxes'!$A$5:$A$107</c:f>
              <c:numCache>
                <c:formatCode>General</c:formatCode>
                <c:ptCount val="103"/>
                <c:pt idx="0">
                  <c:v>1923</c:v>
                </c:pt>
                <c:pt idx="1">
                  <c:v>1924</c:v>
                </c:pt>
                <c:pt idx="2">
                  <c:v>1925</c:v>
                </c:pt>
                <c:pt idx="3">
                  <c:v>1926</c:v>
                </c:pt>
                <c:pt idx="4">
                  <c:v>1927</c:v>
                </c:pt>
                <c:pt idx="5">
                  <c:v>1928</c:v>
                </c:pt>
                <c:pt idx="6">
                  <c:v>1929</c:v>
                </c:pt>
                <c:pt idx="7">
                  <c:v>1930</c:v>
                </c:pt>
                <c:pt idx="8">
                  <c:v>1931</c:v>
                </c:pt>
                <c:pt idx="9">
                  <c:v>1932</c:v>
                </c:pt>
                <c:pt idx="10">
                  <c:v>1933</c:v>
                </c:pt>
                <c:pt idx="11">
                  <c:v>1934</c:v>
                </c:pt>
                <c:pt idx="12">
                  <c:v>1935</c:v>
                </c:pt>
                <c:pt idx="13">
                  <c:v>1936</c:v>
                </c:pt>
                <c:pt idx="14">
                  <c:v>1937</c:v>
                </c:pt>
                <c:pt idx="15">
                  <c:v>1938</c:v>
                </c:pt>
                <c:pt idx="16">
                  <c:v>1939</c:v>
                </c:pt>
                <c:pt idx="17">
                  <c:v>1940</c:v>
                </c:pt>
                <c:pt idx="18">
                  <c:v>1941</c:v>
                </c:pt>
                <c:pt idx="19">
                  <c:v>1942</c:v>
                </c:pt>
                <c:pt idx="20">
                  <c:v>1943</c:v>
                </c:pt>
                <c:pt idx="21">
                  <c:v>1944</c:v>
                </c:pt>
                <c:pt idx="22">
                  <c:v>1945</c:v>
                </c:pt>
                <c:pt idx="23">
                  <c:v>1946</c:v>
                </c:pt>
                <c:pt idx="24">
                  <c:v>1947</c:v>
                </c:pt>
                <c:pt idx="25">
                  <c:v>1948</c:v>
                </c:pt>
                <c:pt idx="26">
                  <c:v>1949</c:v>
                </c:pt>
                <c:pt idx="27">
                  <c:v>1950</c:v>
                </c:pt>
                <c:pt idx="28">
                  <c:v>1951</c:v>
                </c:pt>
                <c:pt idx="29">
                  <c:v>1952</c:v>
                </c:pt>
                <c:pt idx="30">
                  <c:v>1953</c:v>
                </c:pt>
                <c:pt idx="31">
                  <c:v>1954</c:v>
                </c:pt>
                <c:pt idx="32">
                  <c:v>1955</c:v>
                </c:pt>
                <c:pt idx="33">
                  <c:v>1956</c:v>
                </c:pt>
                <c:pt idx="34">
                  <c:v>1957</c:v>
                </c:pt>
                <c:pt idx="35">
                  <c:v>1958</c:v>
                </c:pt>
                <c:pt idx="36">
                  <c:v>1959</c:v>
                </c:pt>
                <c:pt idx="37">
                  <c:v>1960</c:v>
                </c:pt>
                <c:pt idx="38">
                  <c:v>1961</c:v>
                </c:pt>
                <c:pt idx="39">
                  <c:v>1962</c:v>
                </c:pt>
                <c:pt idx="40">
                  <c:v>1963</c:v>
                </c:pt>
                <c:pt idx="41">
                  <c:v>1964</c:v>
                </c:pt>
                <c:pt idx="42">
                  <c:v>1965</c:v>
                </c:pt>
                <c:pt idx="43">
                  <c:v>1966</c:v>
                </c:pt>
                <c:pt idx="44">
                  <c:v>1967</c:v>
                </c:pt>
                <c:pt idx="45">
                  <c:v>1968</c:v>
                </c:pt>
                <c:pt idx="46">
                  <c:v>1969</c:v>
                </c:pt>
                <c:pt idx="47">
                  <c:v>1970</c:v>
                </c:pt>
                <c:pt idx="48">
                  <c:v>1971</c:v>
                </c:pt>
                <c:pt idx="49">
                  <c:v>1972</c:v>
                </c:pt>
                <c:pt idx="50">
                  <c:v>1973</c:v>
                </c:pt>
                <c:pt idx="51">
                  <c:v>1974</c:v>
                </c:pt>
                <c:pt idx="52">
                  <c:v>1975</c:v>
                </c:pt>
                <c:pt idx="53">
                  <c:v>1976</c:v>
                </c:pt>
                <c:pt idx="54">
                  <c:v>1977</c:v>
                </c:pt>
                <c:pt idx="55">
                  <c:v>1978</c:v>
                </c:pt>
                <c:pt idx="56">
                  <c:v>1979</c:v>
                </c:pt>
                <c:pt idx="57">
                  <c:v>1980</c:v>
                </c:pt>
                <c:pt idx="58">
                  <c:v>1981</c:v>
                </c:pt>
                <c:pt idx="59">
                  <c:v>1982</c:v>
                </c:pt>
                <c:pt idx="60">
                  <c:v>1983</c:v>
                </c:pt>
                <c:pt idx="61">
                  <c:v>1984</c:v>
                </c:pt>
                <c:pt idx="62">
                  <c:v>1985</c:v>
                </c:pt>
                <c:pt idx="63">
                  <c:v>1986</c:v>
                </c:pt>
                <c:pt idx="64">
                  <c:v>1987</c:v>
                </c:pt>
                <c:pt idx="65">
                  <c:v>1988</c:v>
                </c:pt>
                <c:pt idx="66">
                  <c:v>1989</c:v>
                </c:pt>
                <c:pt idx="67">
                  <c:v>1990</c:v>
                </c:pt>
                <c:pt idx="68">
                  <c:v>1991</c:v>
                </c:pt>
                <c:pt idx="69">
                  <c:v>1992</c:v>
                </c:pt>
                <c:pt idx="70">
                  <c:v>1993</c:v>
                </c:pt>
                <c:pt idx="71">
                  <c:v>1994</c:v>
                </c:pt>
                <c:pt idx="72">
                  <c:v>1995</c:v>
                </c:pt>
                <c:pt idx="73">
                  <c:v>1996</c:v>
                </c:pt>
                <c:pt idx="74">
                  <c:v>1997</c:v>
                </c:pt>
                <c:pt idx="75">
                  <c:v>1998</c:v>
                </c:pt>
                <c:pt idx="76">
                  <c:v>1999</c:v>
                </c:pt>
                <c:pt idx="77">
                  <c:v>2000</c:v>
                </c:pt>
                <c:pt idx="78">
                  <c:v>2001</c:v>
                </c:pt>
                <c:pt idx="79">
                  <c:v>2002</c:v>
                </c:pt>
                <c:pt idx="80">
                  <c:v>2003</c:v>
                </c:pt>
                <c:pt idx="81">
                  <c:v>2004</c:v>
                </c:pt>
                <c:pt idx="82">
                  <c:v>2005</c:v>
                </c:pt>
                <c:pt idx="83">
                  <c:v>2006</c:v>
                </c:pt>
                <c:pt idx="84">
                  <c:v>2007</c:v>
                </c:pt>
                <c:pt idx="85">
                  <c:v>2008</c:v>
                </c:pt>
                <c:pt idx="86">
                  <c:v>2009</c:v>
                </c:pt>
                <c:pt idx="87">
                  <c:v>2010</c:v>
                </c:pt>
                <c:pt idx="88">
                  <c:v>2011</c:v>
                </c:pt>
                <c:pt idx="89">
                  <c:v>2012</c:v>
                </c:pt>
                <c:pt idx="90">
                  <c:v>2013</c:v>
                </c:pt>
                <c:pt idx="91">
                  <c:v>2014</c:v>
                </c:pt>
                <c:pt idx="92">
                  <c:v>2015</c:v>
                </c:pt>
                <c:pt idx="93">
                  <c:v>2016</c:v>
                </c:pt>
                <c:pt idx="94">
                  <c:v>2017</c:v>
                </c:pt>
                <c:pt idx="95">
                  <c:v>2018</c:v>
                </c:pt>
                <c:pt idx="96">
                  <c:v>2019</c:v>
                </c:pt>
                <c:pt idx="97">
                  <c:v>2020</c:v>
                </c:pt>
                <c:pt idx="98">
                  <c:v>2021</c:v>
                </c:pt>
                <c:pt idx="99">
                  <c:v>2022</c:v>
                </c:pt>
                <c:pt idx="100">
                  <c:v>2023</c:v>
                </c:pt>
                <c:pt idx="101">
                  <c:v>2024</c:v>
                </c:pt>
                <c:pt idx="102">
                  <c:v>2025</c:v>
                </c:pt>
              </c:numCache>
            </c:numRef>
          </c:cat>
          <c:val>
            <c:numRef>
              <c:f>'Cigarette  and Tobacco Taxes'!$J$5:$J$107</c:f>
              <c:numCache>
                <c:formatCode>#,##0</c:formatCode>
                <c:ptCount val="103"/>
                <c:pt idx="41">
                  <c:v>587117.6470588235</c:v>
                </c:pt>
                <c:pt idx="42">
                  <c:v>728819.3548387097</c:v>
                </c:pt>
                <c:pt idx="43">
                  <c:v>614107.93650793645</c:v>
                </c:pt>
                <c:pt idx="44">
                  <c:v>565293.20987654314</c:v>
                </c:pt>
                <c:pt idx="45">
                  <c:v>537640.71856287436</c:v>
                </c:pt>
                <c:pt idx="46">
                  <c:v>525459.77011494257</c:v>
                </c:pt>
                <c:pt idx="47">
                  <c:v>519989.10081743862</c:v>
                </c:pt>
                <c:pt idx="48">
                  <c:v>553719.07216494856</c:v>
                </c:pt>
                <c:pt idx="49">
                  <c:v>551614.81481481483</c:v>
                </c:pt>
                <c:pt idx="50">
                  <c:v>547741.62679425837</c:v>
                </c:pt>
                <c:pt idx="51">
                  <c:v>536716.21621621621</c:v>
                </c:pt>
                <c:pt idx="52">
                  <c:v>543012.17038539553</c:v>
                </c:pt>
                <c:pt idx="53">
                  <c:v>491200.74349442386</c:v>
                </c:pt>
                <c:pt idx="54">
                  <c:v>531295.25483304053</c:v>
                </c:pt>
                <c:pt idx="55">
                  <c:v>518462.04620462045</c:v>
                </c:pt>
                <c:pt idx="56">
                  <c:v>513078.22085889569</c:v>
                </c:pt>
                <c:pt idx="57">
                  <c:v>575253.4435261708</c:v>
                </c:pt>
                <c:pt idx="58">
                  <c:v>604945.38834951457</c:v>
                </c:pt>
                <c:pt idx="59">
                  <c:v>608105.61056105606</c:v>
                </c:pt>
                <c:pt idx="60">
                  <c:v>624051.81347150262</c:v>
                </c:pt>
                <c:pt idx="61">
                  <c:v>670718.87550200801</c:v>
                </c:pt>
                <c:pt idx="62">
                  <c:v>671096.24639076029</c:v>
                </c:pt>
                <c:pt idx="63">
                  <c:v>822914.49814126408</c:v>
                </c:pt>
                <c:pt idx="64">
                  <c:v>1035791.9708029198</c:v>
                </c:pt>
                <c:pt idx="65">
                  <c:v>1127815.1408450706</c:v>
                </c:pt>
                <c:pt idx="66">
                  <c:v>1244674.5562130178</c:v>
                </c:pt>
                <c:pt idx="67">
                  <c:v>1378009.6774193549</c:v>
                </c:pt>
                <c:pt idx="68">
                  <c:v>1452637.337413925</c:v>
                </c:pt>
                <c:pt idx="69">
                  <c:v>1336124.8164464026</c:v>
                </c:pt>
                <c:pt idx="70">
                  <c:v>1645258.7312900927</c:v>
                </c:pt>
                <c:pt idx="71">
                  <c:v>1742450.5190311419</c:v>
                </c:pt>
                <c:pt idx="72">
                  <c:v>2132454.1160593792</c:v>
                </c:pt>
                <c:pt idx="73">
                  <c:v>2241212.5984251969</c:v>
                </c:pt>
                <c:pt idx="74">
                  <c:v>2355567.8776290631</c:v>
                </c:pt>
                <c:pt idx="75">
                  <c:v>2573043.6137071652</c:v>
                </c:pt>
                <c:pt idx="76">
                  <c:v>2458821.4723926382</c:v>
                </c:pt>
                <c:pt idx="77">
                  <c:v>2498161.4645858346</c:v>
                </c:pt>
                <c:pt idx="78">
                  <c:v>2746369.3379790941</c:v>
                </c:pt>
                <c:pt idx="79">
                  <c:v>2854320.7227555057</c:v>
                </c:pt>
                <c:pt idx="80">
                  <c:v>2956346.3035019455</c:v>
                </c:pt>
                <c:pt idx="81">
                  <c:v>3146779.8913043477</c:v>
                </c:pt>
                <c:pt idx="82">
                  <c:v>3446742.7210164107</c:v>
                </c:pt>
                <c:pt idx="83">
                  <c:v>3463370.7117255502</c:v>
                </c:pt>
                <c:pt idx="84">
                  <c:v>3628119.5436507938</c:v>
                </c:pt>
                <c:pt idx="85">
                  <c:v>3789601.2385334373</c:v>
                </c:pt>
                <c:pt idx="86">
                  <c:v>3832814.6844214899</c:v>
                </c:pt>
                <c:pt idx="87">
                  <c:v>4099777.1946097873</c:v>
                </c:pt>
                <c:pt idx="88">
                  <c:v>8750886.9281285536</c:v>
                </c:pt>
                <c:pt idx="89">
                  <c:v>8959585.0430561174</c:v>
                </c:pt>
                <c:pt idx="90">
                  <c:v>8703173.8634284865</c:v>
                </c:pt>
                <c:pt idx="91">
                  <c:v>8875640.998124117</c:v>
                </c:pt>
                <c:pt idx="92">
                  <c:v>8570796.5835360922</c:v>
                </c:pt>
                <c:pt idx="93">
                  <c:v>9164086.5423155297</c:v>
                </c:pt>
                <c:pt idx="94">
                  <c:v>8932584.6067310404</c:v>
                </c:pt>
                <c:pt idx="95">
                  <c:v>8987098.9456163216</c:v>
                </c:pt>
                <c:pt idx="96">
                  <c:v>8555422.5887768958</c:v>
                </c:pt>
                <c:pt idx="97">
                  <c:v>8285068.4255302502</c:v>
                </c:pt>
                <c:pt idx="98">
                  <c:v>7983502.1656730184</c:v>
                </c:pt>
                <c:pt idx="99">
                  <c:v>7708563.5837243656</c:v>
                </c:pt>
                <c:pt idx="100">
                  <c:v>6738906.2206352195</c:v>
                </c:pt>
                <c:pt idx="101">
                  <c:v>6993496.4522713991</c:v>
                </c:pt>
                <c:pt idx="102">
                  <c:v>6496243.8179215733</c:v>
                </c:pt>
              </c:numCache>
            </c:numRef>
          </c:val>
          <c:extLst>
            <c:ext xmlns:c16="http://schemas.microsoft.com/office/drawing/2014/chart" uri="{C3380CC4-5D6E-409C-BE32-E72D297353CC}">
              <c16:uniqueId val="{00000001-5DB3-47EC-A1DF-46CDE61D03F7}"/>
            </c:ext>
          </c:extLst>
        </c:ser>
        <c:dLbls>
          <c:showLegendKey val="0"/>
          <c:showVal val="0"/>
          <c:showCatName val="0"/>
          <c:showSerName val="0"/>
          <c:showPercent val="0"/>
          <c:showBubbleSize val="0"/>
        </c:dLbls>
        <c:axId val="55753728"/>
        <c:axId val="55788672"/>
      </c:areaChart>
      <c:catAx>
        <c:axId val="55753728"/>
        <c:scaling>
          <c:orientation val="minMax"/>
        </c:scaling>
        <c:delete val="0"/>
        <c:axPos val="b"/>
        <c:title>
          <c:tx>
            <c:rich>
              <a:bodyPr/>
              <a:lstStyle/>
              <a:p>
                <a:pPr>
                  <a:defRPr sz="1200" b="1" i="0" u="none" strike="noStrike" baseline="0">
                    <a:solidFill>
                      <a:srgbClr val="000000"/>
                    </a:solidFill>
                    <a:latin typeface="Times New Roman"/>
                    <a:ea typeface="Times New Roman"/>
                    <a:cs typeface="Times New Roman"/>
                  </a:defRPr>
                </a:pPr>
                <a:r>
                  <a:rPr lang="en-US"/>
                  <a:t>Fiscal Year</a:t>
                </a:r>
              </a:p>
            </c:rich>
          </c:tx>
          <c:layout>
            <c:manualLayout>
              <c:xMode val="edge"/>
              <c:yMode val="edge"/>
              <c:x val="0.49160113201811928"/>
              <c:y val="0.91939942734431579"/>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Times New Roman"/>
                <a:ea typeface="Times New Roman"/>
                <a:cs typeface="Times New Roman"/>
              </a:defRPr>
            </a:pPr>
            <a:endParaRPr lang="en-US"/>
          </a:p>
        </c:txPr>
        <c:crossAx val="55788672"/>
        <c:crosses val="autoZero"/>
        <c:auto val="0"/>
        <c:lblAlgn val="ctr"/>
        <c:lblOffset val="100"/>
        <c:tickLblSkip val="4"/>
        <c:tickMarkSkip val="1"/>
        <c:noMultiLvlLbl val="0"/>
      </c:catAx>
      <c:valAx>
        <c:axId val="55788672"/>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Times New Roman"/>
                    <a:ea typeface="Times New Roman"/>
                    <a:cs typeface="Times New Roman"/>
                  </a:defRPr>
                </a:pPr>
                <a:r>
                  <a:rPr lang="en-US"/>
                  <a:t>Tax Collections</a:t>
                </a:r>
              </a:p>
            </c:rich>
          </c:tx>
          <c:layout>
            <c:manualLayout>
              <c:xMode val="edge"/>
              <c:yMode val="edge"/>
              <c:x val="2.0435861679452227E-2"/>
              <c:y val="0.30413014495567031"/>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en-US"/>
          </a:p>
        </c:txPr>
        <c:crossAx val="55753728"/>
        <c:crosses val="autoZero"/>
        <c:crossBetween val="midCat"/>
      </c:valAx>
      <c:spPr>
        <a:noFill/>
        <a:ln w="3175">
          <a:solidFill>
            <a:srgbClr val="000000"/>
          </a:solidFill>
          <a:prstDash val="solid"/>
        </a:ln>
      </c:spPr>
    </c:plotArea>
    <c:legend>
      <c:legendPos val="l"/>
      <c:legendEntry>
        <c:idx val="0"/>
        <c:txPr>
          <a:bodyPr/>
          <a:lstStyle/>
          <a:p>
            <a:pPr>
              <a:defRPr sz="1000"/>
            </a:pPr>
            <a:endParaRPr lang="en-US"/>
          </a:p>
        </c:txPr>
      </c:legendEntry>
      <c:legendEntry>
        <c:idx val="1"/>
        <c:txPr>
          <a:bodyPr/>
          <a:lstStyle/>
          <a:p>
            <a:pPr>
              <a:defRPr sz="1000"/>
            </a:pPr>
            <a:endParaRPr lang="en-US"/>
          </a:p>
        </c:txPr>
      </c:legendEntry>
      <c:layout>
        <c:manualLayout>
          <c:xMode val="edge"/>
          <c:yMode val="edge"/>
          <c:x val="0.33676267843233898"/>
          <c:y val="0.14548548010621623"/>
          <c:w val="0.44990962298317722"/>
          <c:h val="8.5840924543787792E-2"/>
        </c:manualLayout>
      </c:layout>
      <c:overlay val="1"/>
      <c:spPr>
        <a:solidFill>
          <a:sysClr val="window" lastClr="FFFFFF"/>
        </a:solidFill>
        <a:ln>
          <a:solidFill>
            <a:srgbClr val="000000"/>
          </a:solidFill>
        </a:ln>
      </c:spPr>
    </c:legend>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&amp;L&amp;"Times New Roman,Regular"&amp;8Real numbers are based on using the CPI and population of the previous year.
The CPI base period for real numbers: 1982 to 1984 = 100.&amp;R&amp;"Times New Roman,Regular"&amp;8Economic and Statistical Unit
Utah State Tax Commission</c:oddFooter>
    </c:headerFooter>
    <c:pageMargins b="1" l="0.75000000000000655" r="0.75000000000000655"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b="1" i="0" u="none" strike="noStrike" baseline="0">
                <a:solidFill>
                  <a:srgbClr val="000000"/>
                </a:solidFill>
                <a:latin typeface="Times New Roman"/>
                <a:ea typeface="Times New Roman"/>
                <a:cs typeface="Times New Roman"/>
              </a:defRPr>
            </a:pPr>
            <a:r>
              <a:rPr lang="en-US"/>
              <a:t>Number of Taxable Packs of Cigarettes Sold</a:t>
            </a:r>
          </a:p>
        </c:rich>
      </c:tx>
      <c:layout>
        <c:manualLayout>
          <c:xMode val="edge"/>
          <c:yMode val="edge"/>
          <c:x val="0.24540049367064901"/>
          <c:y val="3.0092668278538307E-2"/>
        </c:manualLayout>
      </c:layout>
      <c:overlay val="0"/>
      <c:spPr>
        <a:noFill/>
        <a:ln w="25400">
          <a:noFill/>
        </a:ln>
      </c:spPr>
    </c:title>
    <c:autoTitleDeleted val="0"/>
    <c:plotArea>
      <c:layout>
        <c:manualLayout>
          <c:layoutTarget val="inner"/>
          <c:xMode val="edge"/>
          <c:yMode val="edge"/>
          <c:x val="0.18543994820287388"/>
          <c:y val="0.13838096284010609"/>
          <c:w val="0.75128262039624549"/>
          <c:h val="0.67212013696088391"/>
        </c:manualLayout>
      </c:layout>
      <c:areaChart>
        <c:grouping val="stacked"/>
        <c:varyColors val="0"/>
        <c:ser>
          <c:idx val="0"/>
          <c:order val="0"/>
          <c:tx>
            <c:v>No. of Packs Sold</c:v>
          </c:tx>
          <c:spPr>
            <a:ln>
              <a:solidFill>
                <a:srgbClr val="000000"/>
              </a:solidFill>
            </a:ln>
          </c:spPr>
          <c:cat>
            <c:numRef>
              <c:f>'Cigarette  and Tobacco Taxes'!$A$5:$A$107</c:f>
              <c:numCache>
                <c:formatCode>General</c:formatCode>
                <c:ptCount val="103"/>
                <c:pt idx="0">
                  <c:v>1923</c:v>
                </c:pt>
                <c:pt idx="1">
                  <c:v>1924</c:v>
                </c:pt>
                <c:pt idx="2">
                  <c:v>1925</c:v>
                </c:pt>
                <c:pt idx="3">
                  <c:v>1926</c:v>
                </c:pt>
                <c:pt idx="4">
                  <c:v>1927</c:v>
                </c:pt>
                <c:pt idx="5">
                  <c:v>1928</c:v>
                </c:pt>
                <c:pt idx="6">
                  <c:v>1929</c:v>
                </c:pt>
                <c:pt idx="7">
                  <c:v>1930</c:v>
                </c:pt>
                <c:pt idx="8">
                  <c:v>1931</c:v>
                </c:pt>
                <c:pt idx="9">
                  <c:v>1932</c:v>
                </c:pt>
                <c:pt idx="10">
                  <c:v>1933</c:v>
                </c:pt>
                <c:pt idx="11">
                  <c:v>1934</c:v>
                </c:pt>
                <c:pt idx="12">
                  <c:v>1935</c:v>
                </c:pt>
                <c:pt idx="13">
                  <c:v>1936</c:v>
                </c:pt>
                <c:pt idx="14">
                  <c:v>1937</c:v>
                </c:pt>
                <c:pt idx="15">
                  <c:v>1938</c:v>
                </c:pt>
                <c:pt idx="16">
                  <c:v>1939</c:v>
                </c:pt>
                <c:pt idx="17">
                  <c:v>1940</c:v>
                </c:pt>
                <c:pt idx="18">
                  <c:v>1941</c:v>
                </c:pt>
                <c:pt idx="19">
                  <c:v>1942</c:v>
                </c:pt>
                <c:pt idx="20">
                  <c:v>1943</c:v>
                </c:pt>
                <c:pt idx="21">
                  <c:v>1944</c:v>
                </c:pt>
                <c:pt idx="22">
                  <c:v>1945</c:v>
                </c:pt>
                <c:pt idx="23">
                  <c:v>1946</c:v>
                </c:pt>
                <c:pt idx="24">
                  <c:v>1947</c:v>
                </c:pt>
                <c:pt idx="25">
                  <c:v>1948</c:v>
                </c:pt>
                <c:pt idx="26">
                  <c:v>1949</c:v>
                </c:pt>
                <c:pt idx="27">
                  <c:v>1950</c:v>
                </c:pt>
                <c:pt idx="28">
                  <c:v>1951</c:v>
                </c:pt>
                <c:pt idx="29">
                  <c:v>1952</c:v>
                </c:pt>
                <c:pt idx="30">
                  <c:v>1953</c:v>
                </c:pt>
                <c:pt idx="31">
                  <c:v>1954</c:v>
                </c:pt>
                <c:pt idx="32">
                  <c:v>1955</c:v>
                </c:pt>
                <c:pt idx="33">
                  <c:v>1956</c:v>
                </c:pt>
                <c:pt idx="34">
                  <c:v>1957</c:v>
                </c:pt>
                <c:pt idx="35">
                  <c:v>1958</c:v>
                </c:pt>
                <c:pt idx="36">
                  <c:v>1959</c:v>
                </c:pt>
                <c:pt idx="37">
                  <c:v>1960</c:v>
                </c:pt>
                <c:pt idx="38">
                  <c:v>1961</c:v>
                </c:pt>
                <c:pt idx="39">
                  <c:v>1962</c:v>
                </c:pt>
                <c:pt idx="40">
                  <c:v>1963</c:v>
                </c:pt>
                <c:pt idx="41">
                  <c:v>1964</c:v>
                </c:pt>
                <c:pt idx="42">
                  <c:v>1965</c:v>
                </c:pt>
                <c:pt idx="43">
                  <c:v>1966</c:v>
                </c:pt>
                <c:pt idx="44">
                  <c:v>1967</c:v>
                </c:pt>
                <c:pt idx="45">
                  <c:v>1968</c:v>
                </c:pt>
                <c:pt idx="46">
                  <c:v>1969</c:v>
                </c:pt>
                <c:pt idx="47">
                  <c:v>1970</c:v>
                </c:pt>
                <c:pt idx="48">
                  <c:v>1971</c:v>
                </c:pt>
                <c:pt idx="49">
                  <c:v>1972</c:v>
                </c:pt>
                <c:pt idx="50">
                  <c:v>1973</c:v>
                </c:pt>
                <c:pt idx="51">
                  <c:v>1974</c:v>
                </c:pt>
                <c:pt idx="52">
                  <c:v>1975</c:v>
                </c:pt>
                <c:pt idx="53">
                  <c:v>1976</c:v>
                </c:pt>
                <c:pt idx="54">
                  <c:v>1977</c:v>
                </c:pt>
                <c:pt idx="55">
                  <c:v>1978</c:v>
                </c:pt>
                <c:pt idx="56">
                  <c:v>1979</c:v>
                </c:pt>
                <c:pt idx="57">
                  <c:v>1980</c:v>
                </c:pt>
                <c:pt idx="58">
                  <c:v>1981</c:v>
                </c:pt>
                <c:pt idx="59">
                  <c:v>1982</c:v>
                </c:pt>
                <c:pt idx="60">
                  <c:v>1983</c:v>
                </c:pt>
                <c:pt idx="61">
                  <c:v>1984</c:v>
                </c:pt>
                <c:pt idx="62">
                  <c:v>1985</c:v>
                </c:pt>
                <c:pt idx="63">
                  <c:v>1986</c:v>
                </c:pt>
                <c:pt idx="64">
                  <c:v>1987</c:v>
                </c:pt>
                <c:pt idx="65">
                  <c:v>1988</c:v>
                </c:pt>
                <c:pt idx="66">
                  <c:v>1989</c:v>
                </c:pt>
                <c:pt idx="67">
                  <c:v>1990</c:v>
                </c:pt>
                <c:pt idx="68">
                  <c:v>1991</c:v>
                </c:pt>
                <c:pt idx="69">
                  <c:v>1992</c:v>
                </c:pt>
                <c:pt idx="70">
                  <c:v>1993</c:v>
                </c:pt>
                <c:pt idx="71">
                  <c:v>1994</c:v>
                </c:pt>
                <c:pt idx="72">
                  <c:v>1995</c:v>
                </c:pt>
                <c:pt idx="73">
                  <c:v>1996</c:v>
                </c:pt>
                <c:pt idx="74">
                  <c:v>1997</c:v>
                </c:pt>
                <c:pt idx="75">
                  <c:v>1998</c:v>
                </c:pt>
                <c:pt idx="76">
                  <c:v>1999</c:v>
                </c:pt>
                <c:pt idx="77">
                  <c:v>2000</c:v>
                </c:pt>
                <c:pt idx="78">
                  <c:v>2001</c:v>
                </c:pt>
                <c:pt idx="79">
                  <c:v>2002</c:v>
                </c:pt>
                <c:pt idx="80">
                  <c:v>2003</c:v>
                </c:pt>
                <c:pt idx="81">
                  <c:v>2004</c:v>
                </c:pt>
                <c:pt idx="82">
                  <c:v>2005</c:v>
                </c:pt>
                <c:pt idx="83">
                  <c:v>2006</c:v>
                </c:pt>
                <c:pt idx="84">
                  <c:v>2007</c:v>
                </c:pt>
                <c:pt idx="85">
                  <c:v>2008</c:v>
                </c:pt>
                <c:pt idx="86">
                  <c:v>2009</c:v>
                </c:pt>
                <c:pt idx="87">
                  <c:v>2010</c:v>
                </c:pt>
                <c:pt idx="88">
                  <c:v>2011</c:v>
                </c:pt>
                <c:pt idx="89">
                  <c:v>2012</c:v>
                </c:pt>
                <c:pt idx="90">
                  <c:v>2013</c:v>
                </c:pt>
                <c:pt idx="91">
                  <c:v>2014</c:v>
                </c:pt>
                <c:pt idx="92">
                  <c:v>2015</c:v>
                </c:pt>
                <c:pt idx="93">
                  <c:v>2016</c:v>
                </c:pt>
                <c:pt idx="94">
                  <c:v>2017</c:v>
                </c:pt>
                <c:pt idx="95">
                  <c:v>2018</c:v>
                </c:pt>
                <c:pt idx="96">
                  <c:v>2019</c:v>
                </c:pt>
                <c:pt idx="97">
                  <c:v>2020</c:v>
                </c:pt>
                <c:pt idx="98">
                  <c:v>2021</c:v>
                </c:pt>
                <c:pt idx="99">
                  <c:v>2022</c:v>
                </c:pt>
                <c:pt idx="100">
                  <c:v>2023</c:v>
                </c:pt>
                <c:pt idx="101">
                  <c:v>2024</c:v>
                </c:pt>
                <c:pt idx="102">
                  <c:v>2025</c:v>
                </c:pt>
              </c:numCache>
            </c:numRef>
          </c:cat>
          <c:val>
            <c:numRef>
              <c:f>'Cigarette  and Tobacco Taxes'!$H$5:$H$107</c:f>
              <c:numCache>
                <c:formatCode>#,##0</c:formatCode>
                <c:ptCount val="103"/>
                <c:pt idx="0">
                  <c:v>3450000</c:v>
                </c:pt>
                <c:pt idx="1">
                  <c:v>5300000</c:v>
                </c:pt>
                <c:pt idx="2">
                  <c:v>3050000</c:v>
                </c:pt>
                <c:pt idx="3">
                  <c:v>6450000</c:v>
                </c:pt>
                <c:pt idx="4">
                  <c:v>6400000</c:v>
                </c:pt>
                <c:pt idx="5">
                  <c:v>6800000</c:v>
                </c:pt>
                <c:pt idx="6">
                  <c:v>7150000</c:v>
                </c:pt>
                <c:pt idx="7">
                  <c:v>9650000</c:v>
                </c:pt>
                <c:pt idx="8">
                  <c:v>9850000</c:v>
                </c:pt>
                <c:pt idx="9">
                  <c:v>7512550</c:v>
                </c:pt>
                <c:pt idx="10">
                  <c:v>6002250</c:v>
                </c:pt>
                <c:pt idx="11">
                  <c:v>9469800</c:v>
                </c:pt>
                <c:pt idx="12">
                  <c:v>12158250</c:v>
                </c:pt>
                <c:pt idx="13">
                  <c:v>14224650</c:v>
                </c:pt>
                <c:pt idx="14">
                  <c:v>16313200</c:v>
                </c:pt>
                <c:pt idx="15">
                  <c:v>17423650</c:v>
                </c:pt>
                <c:pt idx="16">
                  <c:v>17446050</c:v>
                </c:pt>
                <c:pt idx="17">
                  <c:v>19022100</c:v>
                </c:pt>
                <c:pt idx="18">
                  <c:v>18471350</c:v>
                </c:pt>
                <c:pt idx="19">
                  <c:v>21928850</c:v>
                </c:pt>
                <c:pt idx="20">
                  <c:v>31706850</c:v>
                </c:pt>
                <c:pt idx="21">
                  <c:v>32316300</c:v>
                </c:pt>
                <c:pt idx="22">
                  <c:v>27657350</c:v>
                </c:pt>
                <c:pt idx="23">
                  <c:v>37858250</c:v>
                </c:pt>
                <c:pt idx="24">
                  <c:v>41347000</c:v>
                </c:pt>
                <c:pt idx="25">
                  <c:v>44400450</c:v>
                </c:pt>
                <c:pt idx="26">
                  <c:v>45156150</c:v>
                </c:pt>
                <c:pt idx="27">
                  <c:v>45274450</c:v>
                </c:pt>
                <c:pt idx="28">
                  <c:v>46560650</c:v>
                </c:pt>
                <c:pt idx="29">
                  <c:v>47588850</c:v>
                </c:pt>
                <c:pt idx="30">
                  <c:v>48942750</c:v>
                </c:pt>
                <c:pt idx="31">
                  <c:v>45224495.042232834</c:v>
                </c:pt>
                <c:pt idx="32">
                  <c:v>45606950</c:v>
                </c:pt>
                <c:pt idx="33">
                  <c:v>47936725</c:v>
                </c:pt>
                <c:pt idx="34">
                  <c:v>49909450</c:v>
                </c:pt>
                <c:pt idx="35">
                  <c:v>51140325</c:v>
                </c:pt>
                <c:pt idx="36">
                  <c:v>55153325</c:v>
                </c:pt>
                <c:pt idx="37">
                  <c:v>58237875</c:v>
                </c:pt>
                <c:pt idx="38">
                  <c:v>61635350</c:v>
                </c:pt>
                <c:pt idx="39">
                  <c:v>61792700</c:v>
                </c:pt>
                <c:pt idx="40">
                  <c:v>58408681.172291301</c:v>
                </c:pt>
                <c:pt idx="41">
                  <c:v>58347350</c:v>
                </c:pt>
                <c:pt idx="42">
                  <c:v>62438450</c:v>
                </c:pt>
                <c:pt idx="43">
                  <c:v>63033050</c:v>
                </c:pt>
                <c:pt idx="44">
                  <c:v>62414600</c:v>
                </c:pt>
                <c:pt idx="45">
                  <c:v>62855875</c:v>
                </c:pt>
                <c:pt idx="46">
                  <c:v>65482737.5</c:v>
                </c:pt>
                <c:pt idx="47">
                  <c:v>66176300</c:v>
                </c:pt>
                <c:pt idx="48">
                  <c:v>69956862.5</c:v>
                </c:pt>
                <c:pt idx="49">
                  <c:v>75722362.5</c:v>
                </c:pt>
                <c:pt idx="50">
                  <c:v>78646037.5</c:v>
                </c:pt>
                <c:pt idx="51">
                  <c:v>83781087.5</c:v>
                </c:pt>
                <c:pt idx="52">
                  <c:v>85777312.5</c:v>
                </c:pt>
                <c:pt idx="53">
                  <c:v>90857037.5</c:v>
                </c:pt>
                <c:pt idx="54">
                  <c:v>93532062.5</c:v>
                </c:pt>
                <c:pt idx="55">
                  <c:v>97187800</c:v>
                </c:pt>
                <c:pt idx="56">
                  <c:v>98852687.5</c:v>
                </c:pt>
                <c:pt idx="57">
                  <c:v>98536080</c:v>
                </c:pt>
                <c:pt idx="58">
                  <c:v>107948950</c:v>
                </c:pt>
                <c:pt idx="59">
                  <c:v>106121980</c:v>
                </c:pt>
                <c:pt idx="60">
                  <c:v>105742783.33333334</c:v>
                </c:pt>
                <c:pt idx="61">
                  <c:v>101631325</c:v>
                </c:pt>
                <c:pt idx="62">
                  <c:v>104055500</c:v>
                </c:pt>
                <c:pt idx="63">
                  <c:v>102075141.66666667</c:v>
                </c:pt>
                <c:pt idx="64">
                  <c:v>106412217.85078399</c:v>
                </c:pt>
                <c:pt idx="65">
                  <c:v>88476313.043478251</c:v>
                </c:pt>
                <c:pt idx="66">
                  <c:v>93996734.782608688</c:v>
                </c:pt>
                <c:pt idx="67">
                  <c:v>89337065.217391297</c:v>
                </c:pt>
                <c:pt idx="68">
                  <c:v>93044882.608695641</c:v>
                </c:pt>
                <c:pt idx="69">
                  <c:v>91624569.811320752</c:v>
                </c:pt>
                <c:pt idx="70">
                  <c:v>88521841.509433955</c:v>
                </c:pt>
                <c:pt idx="71">
                  <c:v>94844728.301886782</c:v>
                </c:pt>
                <c:pt idx="72">
                  <c:v>95587037.735849053</c:v>
                </c:pt>
                <c:pt idx="73">
                  <c:v>95389015.094339624</c:v>
                </c:pt>
                <c:pt idx="74">
                  <c:v>105761181.13207547</c:v>
                </c:pt>
                <c:pt idx="75">
                  <c:v>76973918.446601942</c:v>
                </c:pt>
                <c:pt idx="76">
                  <c:v>90197209.708737865</c:v>
                </c:pt>
                <c:pt idx="77">
                  <c:v>85615132.038834944</c:v>
                </c:pt>
                <c:pt idx="78">
                  <c:v>83707788.349514559</c:v>
                </c:pt>
                <c:pt idx="79">
                  <c:v>84740251.23588872</c:v>
                </c:pt>
                <c:pt idx="80">
                  <c:v>66927194.244604319</c:v>
                </c:pt>
                <c:pt idx="81">
                  <c:v>80392256.115107924</c:v>
                </c:pt>
                <c:pt idx="82">
                  <c:v>79025926.618705034</c:v>
                </c:pt>
                <c:pt idx="83">
                  <c:v>77030584.172661871</c:v>
                </c:pt>
                <c:pt idx="84">
                  <c:v>79364945.323741019</c:v>
                </c:pt>
                <c:pt idx="85">
                  <c:v>78257392.805755407</c:v>
                </c:pt>
                <c:pt idx="86">
                  <c:v>74202125.179856122</c:v>
                </c:pt>
                <c:pt idx="87">
                  <c:v>71771132.37410073</c:v>
                </c:pt>
                <c:pt idx="88">
                  <c:v>61938373.529411763</c:v>
                </c:pt>
                <c:pt idx="89">
                  <c:v>60957710</c:v>
                </c:pt>
                <c:pt idx="90">
                  <c:v>59062988.235294119</c:v>
                </c:pt>
                <c:pt idx="91">
                  <c:v>54298575.294117652</c:v>
                </c:pt>
                <c:pt idx="92">
                  <c:v>56100704.117647059</c:v>
                </c:pt>
                <c:pt idx="93">
                  <c:v>56400193.529411763</c:v>
                </c:pt>
                <c:pt idx="94">
                  <c:v>54982667.647058822</c:v>
                </c:pt>
                <c:pt idx="95">
                  <c:v>52734122.941176474</c:v>
                </c:pt>
                <c:pt idx="96">
                  <c:v>49504538.235294119</c:v>
                </c:pt>
                <c:pt idx="97">
                  <c:v>49908016.052941188</c:v>
                </c:pt>
                <c:pt idx="98">
                  <c:v>46199495.517647058</c:v>
                </c:pt>
                <c:pt idx="99">
                  <c:v>44113334.49411764</c:v>
                </c:pt>
                <c:pt idx="100">
                  <c:v>41838480.588235296</c:v>
                </c:pt>
                <c:pt idx="101">
                  <c:v>38385305.294117652</c:v>
                </c:pt>
                <c:pt idx="102">
                  <c:v>33664710.264705881</c:v>
                </c:pt>
              </c:numCache>
            </c:numRef>
          </c:val>
          <c:extLst>
            <c:ext xmlns:c16="http://schemas.microsoft.com/office/drawing/2014/chart" uri="{C3380CC4-5D6E-409C-BE32-E72D297353CC}">
              <c16:uniqueId val="{00000000-7B74-4BCE-AF3D-97D6420AA1D3}"/>
            </c:ext>
          </c:extLst>
        </c:ser>
        <c:dLbls>
          <c:showLegendKey val="0"/>
          <c:showVal val="0"/>
          <c:showCatName val="0"/>
          <c:showSerName val="0"/>
          <c:showPercent val="0"/>
          <c:showBubbleSize val="0"/>
        </c:dLbls>
        <c:axId val="55835264"/>
        <c:axId val="56632064"/>
      </c:areaChart>
      <c:catAx>
        <c:axId val="55835264"/>
        <c:scaling>
          <c:orientation val="minMax"/>
        </c:scaling>
        <c:delete val="0"/>
        <c:axPos val="b"/>
        <c:title>
          <c:tx>
            <c:rich>
              <a:bodyPr/>
              <a:lstStyle/>
              <a:p>
                <a:pPr>
                  <a:defRPr sz="1200" b="1" i="0" u="none" strike="noStrike" baseline="0">
                    <a:solidFill>
                      <a:srgbClr val="000000"/>
                    </a:solidFill>
                    <a:latin typeface="Times New Roman"/>
                    <a:ea typeface="Times New Roman"/>
                    <a:cs typeface="Times New Roman"/>
                  </a:defRPr>
                </a:pPr>
                <a:r>
                  <a:rPr lang="en-US"/>
                  <a:t>Fiscal Year</a:t>
                </a:r>
              </a:p>
            </c:rich>
          </c:tx>
          <c:layout>
            <c:manualLayout>
              <c:xMode val="edge"/>
              <c:yMode val="edge"/>
              <c:x val="0.49160113201811934"/>
              <c:y val="0.91939942734431568"/>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Times New Roman"/>
                <a:ea typeface="Times New Roman"/>
                <a:cs typeface="Times New Roman"/>
              </a:defRPr>
            </a:pPr>
            <a:endParaRPr lang="en-US"/>
          </a:p>
        </c:txPr>
        <c:crossAx val="56632064"/>
        <c:crosses val="autoZero"/>
        <c:auto val="0"/>
        <c:lblAlgn val="ctr"/>
        <c:lblOffset val="100"/>
        <c:tickLblSkip val="4"/>
        <c:tickMarkSkip val="1"/>
        <c:noMultiLvlLbl val="0"/>
      </c:catAx>
      <c:valAx>
        <c:axId val="56632064"/>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Times New Roman"/>
                    <a:ea typeface="Times New Roman"/>
                    <a:cs typeface="Times New Roman"/>
                  </a:defRPr>
                </a:pPr>
                <a:r>
                  <a:rPr lang="en-US"/>
                  <a:t>Number of Packs</a:t>
                </a:r>
              </a:p>
            </c:rich>
          </c:tx>
          <c:layout>
            <c:manualLayout>
              <c:xMode val="edge"/>
              <c:yMode val="edge"/>
              <c:x val="2.0354673071245749E-2"/>
              <c:y val="0.31311995496265377"/>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en-US"/>
          </a:p>
        </c:txPr>
        <c:crossAx val="55835264"/>
        <c:crosses val="autoZero"/>
        <c:crossBetween val="midCat"/>
      </c:valAx>
      <c:spPr>
        <a:noFill/>
        <a:ln w="3175">
          <a:solidFill>
            <a:srgbClr val="00000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&amp;L&amp;"Times New Roman,Regular"&amp;8Real numbers are based on using the CPI and population of the previous year.
The CPI base period for real numbers: 1982 to 1984 = 100.&amp;R&amp;"Times New Roman,Regular"&amp;8Economic and Statistical Unit
Utah State Tax Commission</c:oddFooter>
    </c:headerFooter>
    <c:pageMargins b="1" l="0.75000000000000644" r="0.75000000000000644"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b="1" i="0" u="none" strike="noStrike" baseline="0">
                <a:solidFill>
                  <a:srgbClr val="000000"/>
                </a:solidFill>
                <a:latin typeface="Times New Roman"/>
                <a:ea typeface="Times New Roman"/>
                <a:cs typeface="Times New Roman"/>
              </a:defRPr>
            </a:pPr>
            <a:r>
              <a:rPr lang="en-US"/>
              <a:t>Cigarette Tax: Real Per Capita 
</a:t>
            </a:r>
          </a:p>
        </c:rich>
      </c:tx>
      <c:layout>
        <c:manualLayout>
          <c:xMode val="edge"/>
          <c:yMode val="edge"/>
          <c:x val="0.30631476646407196"/>
          <c:y val="3.0092675676433131E-2"/>
        </c:manualLayout>
      </c:layout>
      <c:overlay val="0"/>
      <c:spPr>
        <a:noFill/>
        <a:ln w="25400">
          <a:noFill/>
        </a:ln>
      </c:spPr>
    </c:title>
    <c:autoTitleDeleted val="0"/>
    <c:plotArea>
      <c:layout>
        <c:manualLayout>
          <c:layoutTarget val="inner"/>
          <c:xMode val="edge"/>
          <c:yMode val="edge"/>
          <c:x val="0.15175721784777152"/>
          <c:y val="0.13838096284010609"/>
          <c:w val="0.78496538713910768"/>
          <c:h val="0.67212013696088391"/>
        </c:manualLayout>
      </c:layout>
      <c:areaChart>
        <c:grouping val="stacked"/>
        <c:varyColors val="0"/>
        <c:ser>
          <c:idx val="0"/>
          <c:order val="0"/>
          <c:tx>
            <c:v>Real Per Capita</c:v>
          </c:tx>
          <c:spPr>
            <a:ln>
              <a:solidFill>
                <a:srgbClr val="000000"/>
              </a:solidFill>
            </a:ln>
          </c:spPr>
          <c:cat>
            <c:numRef>
              <c:f>'Cigarette  and Tobacco Taxes'!$A$5:$A$107</c:f>
              <c:numCache>
                <c:formatCode>General</c:formatCode>
                <c:ptCount val="103"/>
                <c:pt idx="0">
                  <c:v>1923</c:v>
                </c:pt>
                <c:pt idx="1">
                  <c:v>1924</c:v>
                </c:pt>
                <c:pt idx="2">
                  <c:v>1925</c:v>
                </c:pt>
                <c:pt idx="3">
                  <c:v>1926</c:v>
                </c:pt>
                <c:pt idx="4">
                  <c:v>1927</c:v>
                </c:pt>
                <c:pt idx="5">
                  <c:v>1928</c:v>
                </c:pt>
                <c:pt idx="6">
                  <c:v>1929</c:v>
                </c:pt>
                <c:pt idx="7">
                  <c:v>1930</c:v>
                </c:pt>
                <c:pt idx="8">
                  <c:v>1931</c:v>
                </c:pt>
                <c:pt idx="9">
                  <c:v>1932</c:v>
                </c:pt>
                <c:pt idx="10">
                  <c:v>1933</c:v>
                </c:pt>
                <c:pt idx="11">
                  <c:v>1934</c:v>
                </c:pt>
                <c:pt idx="12">
                  <c:v>1935</c:v>
                </c:pt>
                <c:pt idx="13">
                  <c:v>1936</c:v>
                </c:pt>
                <c:pt idx="14">
                  <c:v>1937</c:v>
                </c:pt>
                <c:pt idx="15">
                  <c:v>1938</c:v>
                </c:pt>
                <c:pt idx="16">
                  <c:v>1939</c:v>
                </c:pt>
                <c:pt idx="17">
                  <c:v>1940</c:v>
                </c:pt>
                <c:pt idx="18">
                  <c:v>1941</c:v>
                </c:pt>
                <c:pt idx="19">
                  <c:v>1942</c:v>
                </c:pt>
                <c:pt idx="20">
                  <c:v>1943</c:v>
                </c:pt>
                <c:pt idx="21">
                  <c:v>1944</c:v>
                </c:pt>
                <c:pt idx="22">
                  <c:v>1945</c:v>
                </c:pt>
                <c:pt idx="23">
                  <c:v>1946</c:v>
                </c:pt>
                <c:pt idx="24">
                  <c:v>1947</c:v>
                </c:pt>
                <c:pt idx="25">
                  <c:v>1948</c:v>
                </c:pt>
                <c:pt idx="26">
                  <c:v>1949</c:v>
                </c:pt>
                <c:pt idx="27">
                  <c:v>1950</c:v>
                </c:pt>
                <c:pt idx="28">
                  <c:v>1951</c:v>
                </c:pt>
                <c:pt idx="29">
                  <c:v>1952</c:v>
                </c:pt>
                <c:pt idx="30">
                  <c:v>1953</c:v>
                </c:pt>
                <c:pt idx="31">
                  <c:v>1954</c:v>
                </c:pt>
                <c:pt idx="32">
                  <c:v>1955</c:v>
                </c:pt>
                <c:pt idx="33">
                  <c:v>1956</c:v>
                </c:pt>
                <c:pt idx="34">
                  <c:v>1957</c:v>
                </c:pt>
                <c:pt idx="35">
                  <c:v>1958</c:v>
                </c:pt>
                <c:pt idx="36">
                  <c:v>1959</c:v>
                </c:pt>
                <c:pt idx="37">
                  <c:v>1960</c:v>
                </c:pt>
                <c:pt idx="38">
                  <c:v>1961</c:v>
                </c:pt>
                <c:pt idx="39">
                  <c:v>1962</c:v>
                </c:pt>
                <c:pt idx="40">
                  <c:v>1963</c:v>
                </c:pt>
                <c:pt idx="41">
                  <c:v>1964</c:v>
                </c:pt>
                <c:pt idx="42">
                  <c:v>1965</c:v>
                </c:pt>
                <c:pt idx="43">
                  <c:v>1966</c:v>
                </c:pt>
                <c:pt idx="44">
                  <c:v>1967</c:v>
                </c:pt>
                <c:pt idx="45">
                  <c:v>1968</c:v>
                </c:pt>
                <c:pt idx="46">
                  <c:v>1969</c:v>
                </c:pt>
                <c:pt idx="47">
                  <c:v>1970</c:v>
                </c:pt>
                <c:pt idx="48">
                  <c:v>1971</c:v>
                </c:pt>
                <c:pt idx="49">
                  <c:v>1972</c:v>
                </c:pt>
                <c:pt idx="50">
                  <c:v>1973</c:v>
                </c:pt>
                <c:pt idx="51">
                  <c:v>1974</c:v>
                </c:pt>
                <c:pt idx="52">
                  <c:v>1975</c:v>
                </c:pt>
                <c:pt idx="53">
                  <c:v>1976</c:v>
                </c:pt>
                <c:pt idx="54">
                  <c:v>1977</c:v>
                </c:pt>
                <c:pt idx="55">
                  <c:v>1978</c:v>
                </c:pt>
                <c:pt idx="56">
                  <c:v>1979</c:v>
                </c:pt>
                <c:pt idx="57">
                  <c:v>1980</c:v>
                </c:pt>
                <c:pt idx="58">
                  <c:v>1981</c:v>
                </c:pt>
                <c:pt idx="59">
                  <c:v>1982</c:v>
                </c:pt>
                <c:pt idx="60">
                  <c:v>1983</c:v>
                </c:pt>
                <c:pt idx="61">
                  <c:v>1984</c:v>
                </c:pt>
                <c:pt idx="62">
                  <c:v>1985</c:v>
                </c:pt>
                <c:pt idx="63">
                  <c:v>1986</c:v>
                </c:pt>
                <c:pt idx="64">
                  <c:v>1987</c:v>
                </c:pt>
                <c:pt idx="65">
                  <c:v>1988</c:v>
                </c:pt>
                <c:pt idx="66">
                  <c:v>1989</c:v>
                </c:pt>
                <c:pt idx="67">
                  <c:v>1990</c:v>
                </c:pt>
                <c:pt idx="68">
                  <c:v>1991</c:v>
                </c:pt>
                <c:pt idx="69">
                  <c:v>1992</c:v>
                </c:pt>
                <c:pt idx="70">
                  <c:v>1993</c:v>
                </c:pt>
                <c:pt idx="71">
                  <c:v>1994</c:v>
                </c:pt>
                <c:pt idx="72">
                  <c:v>1995</c:v>
                </c:pt>
                <c:pt idx="73">
                  <c:v>1996</c:v>
                </c:pt>
                <c:pt idx="74">
                  <c:v>1997</c:v>
                </c:pt>
                <c:pt idx="75">
                  <c:v>1998</c:v>
                </c:pt>
                <c:pt idx="76">
                  <c:v>1999</c:v>
                </c:pt>
                <c:pt idx="77">
                  <c:v>2000</c:v>
                </c:pt>
                <c:pt idx="78">
                  <c:v>2001</c:v>
                </c:pt>
                <c:pt idx="79">
                  <c:v>2002</c:v>
                </c:pt>
                <c:pt idx="80">
                  <c:v>2003</c:v>
                </c:pt>
                <c:pt idx="81">
                  <c:v>2004</c:v>
                </c:pt>
                <c:pt idx="82">
                  <c:v>2005</c:v>
                </c:pt>
                <c:pt idx="83">
                  <c:v>2006</c:v>
                </c:pt>
                <c:pt idx="84">
                  <c:v>2007</c:v>
                </c:pt>
                <c:pt idx="85">
                  <c:v>2008</c:v>
                </c:pt>
                <c:pt idx="86">
                  <c:v>2009</c:v>
                </c:pt>
                <c:pt idx="87">
                  <c:v>2010</c:v>
                </c:pt>
                <c:pt idx="88">
                  <c:v>2011</c:v>
                </c:pt>
                <c:pt idx="89">
                  <c:v>2012</c:v>
                </c:pt>
                <c:pt idx="90">
                  <c:v>2013</c:v>
                </c:pt>
                <c:pt idx="91">
                  <c:v>2014</c:v>
                </c:pt>
                <c:pt idx="92">
                  <c:v>2015</c:v>
                </c:pt>
                <c:pt idx="93">
                  <c:v>2016</c:v>
                </c:pt>
                <c:pt idx="94">
                  <c:v>2017</c:v>
                </c:pt>
                <c:pt idx="95">
                  <c:v>2018</c:v>
                </c:pt>
                <c:pt idx="96">
                  <c:v>2019</c:v>
                </c:pt>
                <c:pt idx="97">
                  <c:v>2020</c:v>
                </c:pt>
                <c:pt idx="98">
                  <c:v>2021</c:v>
                </c:pt>
                <c:pt idx="99">
                  <c:v>2022</c:v>
                </c:pt>
                <c:pt idx="100">
                  <c:v>2023</c:v>
                </c:pt>
                <c:pt idx="101">
                  <c:v>2024</c:v>
                </c:pt>
                <c:pt idx="102">
                  <c:v>2025</c:v>
                </c:pt>
              </c:numCache>
            </c:numRef>
          </c:cat>
          <c:val>
            <c:numRef>
              <c:f>'Cigarette  and Tobacco Taxes'!$F$5:$F$107</c:f>
              <c:numCache>
                <c:formatCode>0.00</c:formatCode>
                <c:ptCount val="103"/>
                <c:pt idx="0">
                  <c:v>0.87947384521260319</c:v>
                </c:pt>
                <c:pt idx="1">
                  <c:v>1.3077701285562711</c:v>
                </c:pt>
                <c:pt idx="2">
                  <c:v>0.74163232057968898</c:v>
                </c:pt>
                <c:pt idx="3">
                  <c:v>1.5136403637430331</c:v>
                </c:pt>
                <c:pt idx="4">
                  <c:v>1.4638944166152017</c:v>
                </c:pt>
                <c:pt idx="5">
                  <c:v>1.5632183908045978</c:v>
                </c:pt>
                <c:pt idx="6">
                  <c:v>1.6592406943284135</c:v>
                </c:pt>
                <c:pt idx="7">
                  <c:v>2.2217617534650276</c:v>
                </c:pt>
                <c:pt idx="8">
                  <c:v>2.3175652624025034</c:v>
                </c:pt>
                <c:pt idx="9">
                  <c:v>1.9231389514642638</c:v>
                </c:pt>
                <c:pt idx="10">
                  <c:v>1.7014385940046775</c:v>
                </c:pt>
                <c:pt idx="11">
                  <c:v>2.8071142730102268</c:v>
                </c:pt>
                <c:pt idx="12">
                  <c:v>3.4763681592039797</c:v>
                </c:pt>
                <c:pt idx="13">
                  <c:v>3.9629603833509783</c:v>
                </c:pt>
                <c:pt idx="14">
                  <c:v>4.4539336272917138</c:v>
                </c:pt>
                <c:pt idx="15">
                  <c:v>4.5832412668350164</c:v>
                </c:pt>
                <c:pt idx="16">
                  <c:v>4.5573057482073596</c:v>
                </c:pt>
                <c:pt idx="17">
                  <c:v>5.0405024047060687</c:v>
                </c:pt>
                <c:pt idx="18">
                  <c:v>4.7821027287319415</c:v>
                </c:pt>
                <c:pt idx="19">
                  <c:v>5.4147314098053023</c:v>
                </c:pt>
                <c:pt idx="20">
                  <c:v>6.8109437026344279</c:v>
                </c:pt>
                <c:pt idx="21">
                  <c:v>5.8374819364161841</c:v>
                </c:pt>
                <c:pt idx="22">
                  <c:v>5.1974213358990928</c:v>
                </c:pt>
                <c:pt idx="23">
                  <c:v>7.1405062336143645</c:v>
                </c:pt>
                <c:pt idx="24">
                  <c:v>6.6468933365485094</c:v>
                </c:pt>
                <c:pt idx="25">
                  <c:v>6.2611684575683224</c:v>
                </c:pt>
                <c:pt idx="26">
                  <c:v>5.7387417155420559</c:v>
                </c:pt>
                <c:pt idx="27">
                  <c:v>5.6716989121229879</c:v>
                </c:pt>
                <c:pt idx="28">
                  <c:v>5.5524563254008807</c:v>
                </c:pt>
                <c:pt idx="29">
                  <c:v>5.184365910254594</c:v>
                </c:pt>
                <c:pt idx="30">
                  <c:v>5.1019232773897629</c:v>
                </c:pt>
                <c:pt idx="31">
                  <c:v>6.2403206247906526</c:v>
                </c:pt>
                <c:pt idx="32">
                  <c:v>9.0362459723257622</c:v>
                </c:pt>
                <c:pt idx="33">
                  <c:v>9.1399272797992648</c:v>
                </c:pt>
                <c:pt idx="34">
                  <c:v>9.0747094460929763</c:v>
                </c:pt>
                <c:pt idx="35">
                  <c:v>8.8100708772071865</c:v>
                </c:pt>
                <c:pt idx="36">
                  <c:v>9.0318009946664013</c:v>
                </c:pt>
                <c:pt idx="37">
                  <c:v>9.2024441723956887</c:v>
                </c:pt>
                <c:pt idx="38">
                  <c:v>9.2545570570570561</c:v>
                </c:pt>
                <c:pt idx="39">
                  <c:v>8.8318183117514213</c:v>
                </c:pt>
                <c:pt idx="40">
                  <c:v>9.0929191610557307</c:v>
                </c:pt>
                <c:pt idx="41">
                  <c:v>15.661405698487473</c:v>
                </c:pt>
                <c:pt idx="42">
                  <c:v>16.475611847747214</c:v>
                </c:pt>
                <c:pt idx="43">
                  <c:v>16.153777649640414</c:v>
                </c:pt>
                <c:pt idx="44">
                  <c:v>15.273550392149664</c:v>
                </c:pt>
                <c:pt idx="45">
                  <c:v>14.774582336798437</c:v>
                </c:pt>
                <c:pt idx="46">
                  <c:v>14.629254493258717</c:v>
                </c:pt>
                <c:pt idx="47">
                  <c:v>13.777795127638587</c:v>
                </c:pt>
                <c:pt idx="48">
                  <c:v>13.531046304713643</c:v>
                </c:pt>
                <c:pt idx="49">
                  <c:v>13.583529676886622</c:v>
                </c:pt>
                <c:pt idx="50">
                  <c:v>13.260393979157454</c:v>
                </c:pt>
                <c:pt idx="51">
                  <c:v>12.913889765551513</c:v>
                </c:pt>
                <c:pt idx="52">
                  <c:v>11.628922971646919</c:v>
                </c:pt>
                <c:pt idx="53">
                  <c:v>10.949299091254467</c:v>
                </c:pt>
                <c:pt idx="54">
                  <c:v>10.3379410053752</c:v>
                </c:pt>
                <c:pt idx="55">
                  <c:v>9.7496657223000316</c:v>
                </c:pt>
                <c:pt idx="56">
                  <c:v>8.8939791827163681</c:v>
                </c:pt>
                <c:pt idx="57">
                  <c:v>9.5854110737789853</c:v>
                </c:pt>
                <c:pt idx="58">
                  <c:v>8.8877888250714641</c:v>
                </c:pt>
                <c:pt idx="59">
                  <c:v>7.7059968703140935</c:v>
                </c:pt>
                <c:pt idx="60">
                  <c:v>8.4398983684410069</c:v>
                </c:pt>
                <c:pt idx="61">
                  <c:v>7.6769516939230273</c:v>
                </c:pt>
                <c:pt idx="62">
                  <c:v>7.4093462247323547</c:v>
                </c:pt>
                <c:pt idx="63">
                  <c:v>6.9286943369075074</c:v>
                </c:pt>
                <c:pt idx="64">
                  <c:v>8.1320940741163419</c:v>
                </c:pt>
                <c:pt idx="65">
                  <c:v>10.675410028706208</c:v>
                </c:pt>
                <c:pt idx="66">
                  <c:v>10.813571453580556</c:v>
                </c:pt>
                <c:pt idx="67">
                  <c:v>9.713121147373597</c:v>
                </c:pt>
                <c:pt idx="68">
                  <c:v>9.4687518007087341</c:v>
                </c:pt>
                <c:pt idx="69">
                  <c:v>10.010332358550322</c:v>
                </c:pt>
                <c:pt idx="70">
                  <c:v>9.0961566407685055</c:v>
                </c:pt>
                <c:pt idx="71">
                  <c:v>9.2059565671058223</c:v>
                </c:pt>
                <c:pt idx="72">
                  <c:v>8.7799685331421493</c:v>
                </c:pt>
                <c:pt idx="73">
                  <c:v>8.3131715133200199</c:v>
                </c:pt>
                <c:pt idx="74">
                  <c:v>8.743868193565536</c:v>
                </c:pt>
                <c:pt idx="75">
                  <c:v>11.764642459702822</c:v>
                </c:pt>
                <c:pt idx="76">
                  <c:v>13.306623832219049</c:v>
                </c:pt>
                <c:pt idx="77">
                  <c:v>12.068168313027609</c:v>
                </c:pt>
                <c:pt idx="78">
                  <c:v>11.143964317964679</c:v>
                </c:pt>
                <c:pt idx="79">
                  <c:v>11.324288187583791</c:v>
                </c:pt>
                <c:pt idx="80">
                  <c:v>11.088176223175832</c:v>
                </c:pt>
                <c:pt idx="81">
                  <c:v>12.799195290651959</c:v>
                </c:pt>
                <c:pt idx="82">
                  <c:v>11.963997586614433</c:v>
                </c:pt>
                <c:pt idx="83">
                  <c:v>10.939359513073029</c:v>
                </c:pt>
                <c:pt idx="84">
                  <c:v>10.620342764498524</c:v>
                </c:pt>
                <c:pt idx="85">
                  <c:v>9.9509635134303931</c:v>
                </c:pt>
                <c:pt idx="86">
                  <c:v>8.9005671393455561</c:v>
                </c:pt>
                <c:pt idx="87">
                  <c:v>8.5118047955046006</c:v>
                </c:pt>
                <c:pt idx="88">
                  <c:v>17.415783857752952</c:v>
                </c:pt>
                <c:pt idx="89">
                  <c:v>16.324571524383156</c:v>
                </c:pt>
                <c:pt idx="90">
                  <c:v>15.25158064703187</c:v>
                </c:pt>
                <c:pt idx="91">
                  <c:v>13.635238009896597</c:v>
                </c:pt>
                <c:pt idx="92">
                  <c:v>13.670184746732188</c:v>
                </c:pt>
                <c:pt idx="93">
                  <c:v>13.467290252058726</c:v>
                </c:pt>
                <c:pt idx="94">
                  <c:v>12.717163890542226</c:v>
                </c:pt>
                <c:pt idx="95">
                  <c:v>11.712874310601267</c:v>
                </c:pt>
                <c:pt idx="96">
                  <c:v>10.551346515588456</c:v>
                </c:pt>
                <c:pt idx="97">
                  <c:v>10.270916256978504</c:v>
                </c:pt>
                <c:pt idx="98">
                  <c:v>9.2382870175213885</c:v>
                </c:pt>
                <c:pt idx="99">
                  <c:v>8.2798301250432047</c:v>
                </c:pt>
                <c:pt idx="100">
                  <c:v>7.1470521827289764</c:v>
                </c:pt>
                <c:pt idx="101">
                  <c:v>6.1958979299630466</c:v>
                </c:pt>
                <c:pt idx="102">
                  <c:v>5.202460707245816</c:v>
                </c:pt>
              </c:numCache>
            </c:numRef>
          </c:val>
          <c:extLst>
            <c:ext xmlns:c16="http://schemas.microsoft.com/office/drawing/2014/chart" uri="{C3380CC4-5D6E-409C-BE32-E72D297353CC}">
              <c16:uniqueId val="{00000000-6991-4A20-ABE0-465010A21469}"/>
            </c:ext>
          </c:extLst>
        </c:ser>
        <c:dLbls>
          <c:showLegendKey val="0"/>
          <c:showVal val="0"/>
          <c:showCatName val="0"/>
          <c:showSerName val="0"/>
          <c:showPercent val="0"/>
          <c:showBubbleSize val="0"/>
        </c:dLbls>
        <c:axId val="55682176"/>
        <c:axId val="55684096"/>
      </c:areaChart>
      <c:catAx>
        <c:axId val="55682176"/>
        <c:scaling>
          <c:orientation val="minMax"/>
        </c:scaling>
        <c:delete val="0"/>
        <c:axPos val="b"/>
        <c:title>
          <c:tx>
            <c:rich>
              <a:bodyPr/>
              <a:lstStyle/>
              <a:p>
                <a:pPr>
                  <a:defRPr sz="1200" b="1" i="0" u="none" strike="noStrike" baseline="0">
                    <a:solidFill>
                      <a:srgbClr val="000000"/>
                    </a:solidFill>
                    <a:latin typeface="Times New Roman"/>
                    <a:ea typeface="Times New Roman"/>
                    <a:cs typeface="Times New Roman"/>
                  </a:defRPr>
                </a:pPr>
                <a:r>
                  <a:rPr lang="en-US"/>
                  <a:t>Fiscal Year</a:t>
                </a:r>
              </a:p>
            </c:rich>
          </c:tx>
          <c:layout>
            <c:manualLayout>
              <c:xMode val="edge"/>
              <c:yMode val="edge"/>
              <c:x val="0.49160113201811934"/>
              <c:y val="0.91939942734431568"/>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Times New Roman"/>
                <a:ea typeface="Times New Roman"/>
                <a:cs typeface="Times New Roman"/>
              </a:defRPr>
            </a:pPr>
            <a:endParaRPr lang="en-US"/>
          </a:p>
        </c:txPr>
        <c:crossAx val="55684096"/>
        <c:crosses val="autoZero"/>
        <c:auto val="0"/>
        <c:lblAlgn val="ctr"/>
        <c:lblOffset val="100"/>
        <c:tickLblSkip val="4"/>
        <c:tickMarkSkip val="1"/>
        <c:noMultiLvlLbl val="0"/>
      </c:catAx>
      <c:valAx>
        <c:axId val="55684096"/>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Times New Roman"/>
                    <a:ea typeface="Times New Roman"/>
                    <a:cs typeface="Times New Roman"/>
                  </a:defRPr>
                </a:pPr>
                <a:r>
                  <a:rPr lang="en-US"/>
                  <a:t>Real</a:t>
                </a:r>
                <a:r>
                  <a:rPr lang="en-US" baseline="0"/>
                  <a:t> Dollars</a:t>
                </a:r>
                <a:endParaRPr lang="en-US"/>
              </a:p>
            </c:rich>
          </c:tx>
          <c:layout>
            <c:manualLayout>
              <c:xMode val="edge"/>
              <c:yMode val="edge"/>
              <c:x val="3.2985759409181831E-2"/>
              <c:y val="0.37244046766881977"/>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en-US"/>
          </a:p>
        </c:txPr>
        <c:crossAx val="55682176"/>
        <c:crosses val="autoZero"/>
        <c:crossBetween val="midCat"/>
      </c:valAx>
      <c:spPr>
        <a:noFill/>
        <a:ln w="3175">
          <a:solidFill>
            <a:srgbClr val="00000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&amp;L&amp;"Times New Roman,Regular"&amp;8Real numbers are based on using the CPI and population of the previous year.
The CPI base period for real numbers: 1982 to 1984 = 100.&amp;R&amp;"Times New Roman,Regular"&amp;8Economic and Statistical Unit
Utah State Tax Commission</c:oddFooter>
    </c:headerFooter>
    <c:pageMargins b="1" l="0.75000000000000644" r="0.75000000000000644" t="1" header="0.5" footer="0.5"/>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nchor="b" anchorCtr="0"/>
          <a:lstStyle/>
          <a:p>
            <a:pPr>
              <a:defRPr sz="1400" b="1" i="0" u="none" strike="noStrike" baseline="0">
                <a:solidFill>
                  <a:srgbClr val="000000"/>
                </a:solidFill>
                <a:latin typeface="Times New Roman"/>
                <a:ea typeface="Times New Roman"/>
                <a:cs typeface="Times New Roman"/>
              </a:defRPr>
            </a:pPr>
            <a:r>
              <a:rPr lang="en-US"/>
              <a:t>Tobacco Tax: Collections 
</a:t>
            </a:r>
          </a:p>
        </c:rich>
      </c:tx>
      <c:layout>
        <c:manualLayout>
          <c:xMode val="edge"/>
          <c:yMode val="edge"/>
          <c:x val="0.34022791602822322"/>
          <c:y val="2.5163878280201092E-2"/>
        </c:manualLayout>
      </c:layout>
      <c:overlay val="0"/>
      <c:spPr>
        <a:noFill/>
        <a:ln w="25400">
          <a:noFill/>
        </a:ln>
      </c:spPr>
    </c:title>
    <c:autoTitleDeleted val="0"/>
    <c:plotArea>
      <c:layout>
        <c:manualLayout>
          <c:layoutTarget val="inner"/>
          <c:xMode val="edge"/>
          <c:yMode val="edge"/>
          <c:x val="0.18866146358990679"/>
          <c:y val="0.13438007805788066"/>
          <c:w val="0.75705792526831661"/>
          <c:h val="0.6752705837492422"/>
        </c:manualLayout>
      </c:layout>
      <c:areaChart>
        <c:grouping val="standard"/>
        <c:varyColors val="0"/>
        <c:ser>
          <c:idx val="0"/>
          <c:order val="0"/>
          <c:tx>
            <c:v>Tax Collections</c:v>
          </c:tx>
          <c:spPr>
            <a:solidFill>
              <a:srgbClr val="969696"/>
            </a:solidFill>
            <a:ln w="12700">
              <a:solidFill>
                <a:srgbClr val="000000"/>
              </a:solidFill>
              <a:prstDash val="solid"/>
            </a:ln>
          </c:spPr>
          <c:cat>
            <c:numRef>
              <c:f>'Cigarette  and Tobacco Taxes'!$A$46:$A$107</c:f>
              <c:numCache>
                <c:formatCode>General</c:formatCode>
                <c:ptCount val="62"/>
                <c:pt idx="0">
                  <c:v>1964</c:v>
                </c:pt>
                <c:pt idx="1">
                  <c:v>1965</c:v>
                </c:pt>
                <c:pt idx="2">
                  <c:v>1966</c:v>
                </c:pt>
                <c:pt idx="3">
                  <c:v>1967</c:v>
                </c:pt>
                <c:pt idx="4">
                  <c:v>1968</c:v>
                </c:pt>
                <c:pt idx="5">
                  <c:v>1969</c:v>
                </c:pt>
                <c:pt idx="6">
                  <c:v>1970</c:v>
                </c:pt>
                <c:pt idx="7">
                  <c:v>1971</c:v>
                </c:pt>
                <c:pt idx="8">
                  <c:v>1972</c:v>
                </c:pt>
                <c:pt idx="9">
                  <c:v>1973</c:v>
                </c:pt>
                <c:pt idx="10">
                  <c:v>1974</c:v>
                </c:pt>
                <c:pt idx="11">
                  <c:v>1975</c:v>
                </c:pt>
                <c:pt idx="12">
                  <c:v>1976</c:v>
                </c:pt>
                <c:pt idx="13">
                  <c:v>1977</c:v>
                </c:pt>
                <c:pt idx="14">
                  <c:v>1978</c:v>
                </c:pt>
                <c:pt idx="15">
                  <c:v>1979</c:v>
                </c:pt>
                <c:pt idx="16">
                  <c:v>1980</c:v>
                </c:pt>
                <c:pt idx="17">
                  <c:v>1981</c:v>
                </c:pt>
                <c:pt idx="18">
                  <c:v>1982</c:v>
                </c:pt>
                <c:pt idx="19">
                  <c:v>1983</c:v>
                </c:pt>
                <c:pt idx="20">
                  <c:v>1984</c:v>
                </c:pt>
                <c:pt idx="21">
                  <c:v>1985</c:v>
                </c:pt>
                <c:pt idx="22">
                  <c:v>1986</c:v>
                </c:pt>
                <c:pt idx="23">
                  <c:v>1987</c:v>
                </c:pt>
                <c:pt idx="24">
                  <c:v>1988</c:v>
                </c:pt>
                <c:pt idx="25">
                  <c:v>1989</c:v>
                </c:pt>
                <c:pt idx="26">
                  <c:v>1990</c:v>
                </c:pt>
                <c:pt idx="27">
                  <c:v>1991</c:v>
                </c:pt>
                <c:pt idx="28">
                  <c:v>1992</c:v>
                </c:pt>
                <c:pt idx="29">
                  <c:v>1993</c:v>
                </c:pt>
                <c:pt idx="30">
                  <c:v>1994</c:v>
                </c:pt>
                <c:pt idx="31">
                  <c:v>1995</c:v>
                </c:pt>
                <c:pt idx="32">
                  <c:v>1996</c:v>
                </c:pt>
                <c:pt idx="33">
                  <c:v>1997</c:v>
                </c:pt>
                <c:pt idx="34">
                  <c:v>1998</c:v>
                </c:pt>
                <c:pt idx="35">
                  <c:v>1999</c:v>
                </c:pt>
                <c:pt idx="36">
                  <c:v>2000</c:v>
                </c:pt>
                <c:pt idx="37">
                  <c:v>2001</c:v>
                </c:pt>
                <c:pt idx="38">
                  <c:v>2002</c:v>
                </c:pt>
                <c:pt idx="39">
                  <c:v>2003</c:v>
                </c:pt>
                <c:pt idx="40">
                  <c:v>2004</c:v>
                </c:pt>
                <c:pt idx="41">
                  <c:v>2005</c:v>
                </c:pt>
                <c:pt idx="42">
                  <c:v>2006</c:v>
                </c:pt>
                <c:pt idx="43">
                  <c:v>2007</c:v>
                </c:pt>
                <c:pt idx="44">
                  <c:v>2008</c:v>
                </c:pt>
                <c:pt idx="45">
                  <c:v>2009</c:v>
                </c:pt>
                <c:pt idx="46">
                  <c:v>2010</c:v>
                </c:pt>
                <c:pt idx="47">
                  <c:v>2011</c:v>
                </c:pt>
                <c:pt idx="48">
                  <c:v>2012</c:v>
                </c:pt>
                <c:pt idx="49">
                  <c:v>2013</c:v>
                </c:pt>
                <c:pt idx="50">
                  <c:v>2014</c:v>
                </c:pt>
                <c:pt idx="51">
                  <c:v>2015</c:v>
                </c:pt>
                <c:pt idx="52">
                  <c:v>2016</c:v>
                </c:pt>
                <c:pt idx="53">
                  <c:v>2017</c:v>
                </c:pt>
                <c:pt idx="54">
                  <c:v>2018</c:v>
                </c:pt>
                <c:pt idx="55">
                  <c:v>2019</c:v>
                </c:pt>
                <c:pt idx="56">
                  <c:v>2020</c:v>
                </c:pt>
                <c:pt idx="57">
                  <c:v>2021</c:v>
                </c:pt>
                <c:pt idx="58">
                  <c:v>2022</c:v>
                </c:pt>
                <c:pt idx="59">
                  <c:v>2023</c:v>
                </c:pt>
                <c:pt idx="60">
                  <c:v>2024</c:v>
                </c:pt>
                <c:pt idx="61">
                  <c:v>2025</c:v>
                </c:pt>
              </c:numCache>
            </c:numRef>
          </c:cat>
          <c:val>
            <c:numRef>
              <c:f>'Cigarette  and Tobacco Taxes'!$I$46:$I$107</c:f>
              <c:numCache>
                <c:formatCode>#,##0_);[Red]\(#,##0\)</c:formatCode>
                <c:ptCount val="62"/>
                <c:pt idx="0">
                  <c:v>179658</c:v>
                </c:pt>
                <c:pt idx="1">
                  <c:v>225934</c:v>
                </c:pt>
                <c:pt idx="2">
                  <c:v>193444</c:v>
                </c:pt>
                <c:pt idx="3">
                  <c:v>183155</c:v>
                </c:pt>
                <c:pt idx="4">
                  <c:v>179572</c:v>
                </c:pt>
                <c:pt idx="5">
                  <c:v>182860</c:v>
                </c:pt>
                <c:pt idx="6">
                  <c:v>190836</c:v>
                </c:pt>
                <c:pt idx="7">
                  <c:v>214843</c:v>
                </c:pt>
                <c:pt idx="8">
                  <c:v>223404</c:v>
                </c:pt>
                <c:pt idx="9">
                  <c:v>228956</c:v>
                </c:pt>
                <c:pt idx="10">
                  <c:v>238302</c:v>
                </c:pt>
                <c:pt idx="11">
                  <c:v>267705</c:v>
                </c:pt>
                <c:pt idx="12">
                  <c:v>264266</c:v>
                </c:pt>
                <c:pt idx="13">
                  <c:v>302307</c:v>
                </c:pt>
                <c:pt idx="14">
                  <c:v>314188</c:v>
                </c:pt>
                <c:pt idx="15">
                  <c:v>334527</c:v>
                </c:pt>
                <c:pt idx="16">
                  <c:v>417634</c:v>
                </c:pt>
                <c:pt idx="17">
                  <c:v>498475</c:v>
                </c:pt>
                <c:pt idx="18">
                  <c:v>552768</c:v>
                </c:pt>
                <c:pt idx="19">
                  <c:v>602210</c:v>
                </c:pt>
                <c:pt idx="20">
                  <c:v>668036</c:v>
                </c:pt>
                <c:pt idx="21">
                  <c:v>697269</c:v>
                </c:pt>
                <c:pt idx="22">
                  <c:v>885456</c:v>
                </c:pt>
                <c:pt idx="23">
                  <c:v>1135228</c:v>
                </c:pt>
                <c:pt idx="24">
                  <c:v>1281198</c:v>
                </c:pt>
                <c:pt idx="25">
                  <c:v>1472450</c:v>
                </c:pt>
                <c:pt idx="26">
                  <c:v>1708732</c:v>
                </c:pt>
                <c:pt idx="27">
                  <c:v>1898597</c:v>
                </c:pt>
                <c:pt idx="28">
                  <c:v>1819802</c:v>
                </c:pt>
                <c:pt idx="29">
                  <c:v>2308298</c:v>
                </c:pt>
                <c:pt idx="30">
                  <c:v>2517841</c:v>
                </c:pt>
                <c:pt idx="31">
                  <c:v>3160297</c:v>
                </c:pt>
                <c:pt idx="32">
                  <c:v>3415608</c:v>
                </c:pt>
                <c:pt idx="33">
                  <c:v>3695886</c:v>
                </c:pt>
                <c:pt idx="34">
                  <c:v>4129735</c:v>
                </c:pt>
                <c:pt idx="35">
                  <c:v>4007879</c:v>
                </c:pt>
                <c:pt idx="36">
                  <c:v>4161937</c:v>
                </c:pt>
                <c:pt idx="37">
                  <c:v>4729248</c:v>
                </c:pt>
                <c:pt idx="38">
                  <c:v>5055002</c:v>
                </c:pt>
                <c:pt idx="39">
                  <c:v>5318467</c:v>
                </c:pt>
                <c:pt idx="40">
                  <c:v>5790075</c:v>
                </c:pt>
                <c:pt idx="41">
                  <c:v>6510897</c:v>
                </c:pt>
                <c:pt idx="42">
                  <c:v>6763963</c:v>
                </c:pt>
                <c:pt idx="43">
                  <c:v>7314289</c:v>
                </c:pt>
                <c:pt idx="44">
                  <c:v>7857435</c:v>
                </c:pt>
                <c:pt idx="45">
                  <c:v>8252165</c:v>
                </c:pt>
                <c:pt idx="46">
                  <c:v>8795539</c:v>
                </c:pt>
                <c:pt idx="47">
                  <c:v>19081834</c:v>
                </c:pt>
                <c:pt idx="48">
                  <c:v>20153601</c:v>
                </c:pt>
                <c:pt idx="49">
                  <c:v>19981965</c:v>
                </c:pt>
                <c:pt idx="50">
                  <c:v>20676427</c:v>
                </c:pt>
                <c:pt idx="51">
                  <c:v>20290161</c:v>
                </c:pt>
                <c:pt idx="52">
                  <c:v>21720443</c:v>
                </c:pt>
                <c:pt idx="53">
                  <c:v>21438873</c:v>
                </c:pt>
                <c:pt idx="54">
                  <c:v>22029132</c:v>
                </c:pt>
                <c:pt idx="55">
                  <c:v>21483265</c:v>
                </c:pt>
                <c:pt idx="56">
                  <c:v>21181398.810000002</c:v>
                </c:pt>
                <c:pt idx="57">
                  <c:v>20662181.789999999</c:v>
                </c:pt>
                <c:pt idx="58">
                  <c:v>20887856.199999996</c:v>
                </c:pt>
                <c:pt idx="59">
                  <c:v>19721746</c:v>
                </c:pt>
                <c:pt idx="60">
                  <c:v>21309323.559999999</c:v>
                </c:pt>
                <c:pt idx="61" formatCode="_(* #,##0_);_(* \(#,##0\);_(* &quot;-&quot;??_);_(@_)">
                  <c:v>20378002.270000003</c:v>
                </c:pt>
              </c:numCache>
            </c:numRef>
          </c:val>
          <c:extLst>
            <c:ext xmlns:c16="http://schemas.microsoft.com/office/drawing/2014/chart" uri="{C3380CC4-5D6E-409C-BE32-E72D297353CC}">
              <c16:uniqueId val="{00000000-A413-4171-A39F-C39CD2373BA7}"/>
            </c:ext>
          </c:extLst>
        </c:ser>
        <c:dLbls>
          <c:showLegendKey val="0"/>
          <c:showVal val="0"/>
          <c:showCatName val="0"/>
          <c:showSerName val="0"/>
          <c:showPercent val="0"/>
          <c:showBubbleSize val="0"/>
        </c:dLbls>
        <c:axId val="56671616"/>
        <c:axId val="56788864"/>
      </c:areaChart>
      <c:lineChart>
        <c:grouping val="standard"/>
        <c:varyColors val="0"/>
        <c:ser>
          <c:idx val="1"/>
          <c:order val="1"/>
          <c:tx>
            <c:v>Real Tax Collections</c:v>
          </c:tx>
          <c:spPr>
            <a:ln w="12700">
              <a:solidFill>
                <a:srgbClr val="C00000"/>
              </a:solidFill>
              <a:prstDash val="solid"/>
            </a:ln>
          </c:spPr>
          <c:marker>
            <c:symbol val="square"/>
            <c:size val="5"/>
            <c:spPr>
              <a:solidFill>
                <a:srgbClr val="FFFFFF"/>
              </a:solidFill>
              <a:ln>
                <a:solidFill>
                  <a:srgbClr val="FF0000"/>
                </a:solidFill>
                <a:prstDash val="solid"/>
              </a:ln>
            </c:spPr>
          </c:marker>
          <c:cat>
            <c:numRef>
              <c:f>'Cigarette  and Tobacco Taxes'!$A$46:$A$107</c:f>
              <c:numCache>
                <c:formatCode>General</c:formatCode>
                <c:ptCount val="62"/>
                <c:pt idx="0">
                  <c:v>1964</c:v>
                </c:pt>
                <c:pt idx="1">
                  <c:v>1965</c:v>
                </c:pt>
                <c:pt idx="2">
                  <c:v>1966</c:v>
                </c:pt>
                <c:pt idx="3">
                  <c:v>1967</c:v>
                </c:pt>
                <c:pt idx="4">
                  <c:v>1968</c:v>
                </c:pt>
                <c:pt idx="5">
                  <c:v>1969</c:v>
                </c:pt>
                <c:pt idx="6">
                  <c:v>1970</c:v>
                </c:pt>
                <c:pt idx="7">
                  <c:v>1971</c:v>
                </c:pt>
                <c:pt idx="8">
                  <c:v>1972</c:v>
                </c:pt>
                <c:pt idx="9">
                  <c:v>1973</c:v>
                </c:pt>
                <c:pt idx="10">
                  <c:v>1974</c:v>
                </c:pt>
                <c:pt idx="11">
                  <c:v>1975</c:v>
                </c:pt>
                <c:pt idx="12">
                  <c:v>1976</c:v>
                </c:pt>
                <c:pt idx="13">
                  <c:v>1977</c:v>
                </c:pt>
                <c:pt idx="14">
                  <c:v>1978</c:v>
                </c:pt>
                <c:pt idx="15">
                  <c:v>1979</c:v>
                </c:pt>
                <c:pt idx="16">
                  <c:v>1980</c:v>
                </c:pt>
                <c:pt idx="17">
                  <c:v>1981</c:v>
                </c:pt>
                <c:pt idx="18">
                  <c:v>1982</c:v>
                </c:pt>
                <c:pt idx="19">
                  <c:v>1983</c:v>
                </c:pt>
                <c:pt idx="20">
                  <c:v>1984</c:v>
                </c:pt>
                <c:pt idx="21">
                  <c:v>1985</c:v>
                </c:pt>
                <c:pt idx="22">
                  <c:v>1986</c:v>
                </c:pt>
                <c:pt idx="23">
                  <c:v>1987</c:v>
                </c:pt>
                <c:pt idx="24">
                  <c:v>1988</c:v>
                </c:pt>
                <c:pt idx="25">
                  <c:v>1989</c:v>
                </c:pt>
                <c:pt idx="26">
                  <c:v>1990</c:v>
                </c:pt>
                <c:pt idx="27">
                  <c:v>1991</c:v>
                </c:pt>
                <c:pt idx="28">
                  <c:v>1992</c:v>
                </c:pt>
                <c:pt idx="29">
                  <c:v>1993</c:v>
                </c:pt>
                <c:pt idx="30">
                  <c:v>1994</c:v>
                </c:pt>
                <c:pt idx="31">
                  <c:v>1995</c:v>
                </c:pt>
                <c:pt idx="32">
                  <c:v>1996</c:v>
                </c:pt>
                <c:pt idx="33">
                  <c:v>1997</c:v>
                </c:pt>
                <c:pt idx="34">
                  <c:v>1998</c:v>
                </c:pt>
                <c:pt idx="35">
                  <c:v>1999</c:v>
                </c:pt>
                <c:pt idx="36">
                  <c:v>2000</c:v>
                </c:pt>
                <c:pt idx="37">
                  <c:v>2001</c:v>
                </c:pt>
                <c:pt idx="38">
                  <c:v>2002</c:v>
                </c:pt>
                <c:pt idx="39">
                  <c:v>2003</c:v>
                </c:pt>
                <c:pt idx="40">
                  <c:v>2004</c:v>
                </c:pt>
                <c:pt idx="41">
                  <c:v>2005</c:v>
                </c:pt>
                <c:pt idx="42">
                  <c:v>2006</c:v>
                </c:pt>
                <c:pt idx="43">
                  <c:v>2007</c:v>
                </c:pt>
                <c:pt idx="44">
                  <c:v>2008</c:v>
                </c:pt>
                <c:pt idx="45">
                  <c:v>2009</c:v>
                </c:pt>
                <c:pt idx="46">
                  <c:v>2010</c:v>
                </c:pt>
                <c:pt idx="47">
                  <c:v>2011</c:v>
                </c:pt>
                <c:pt idx="48">
                  <c:v>2012</c:v>
                </c:pt>
                <c:pt idx="49">
                  <c:v>2013</c:v>
                </c:pt>
                <c:pt idx="50">
                  <c:v>2014</c:v>
                </c:pt>
                <c:pt idx="51">
                  <c:v>2015</c:v>
                </c:pt>
                <c:pt idx="52">
                  <c:v>2016</c:v>
                </c:pt>
                <c:pt idx="53">
                  <c:v>2017</c:v>
                </c:pt>
                <c:pt idx="54">
                  <c:v>2018</c:v>
                </c:pt>
                <c:pt idx="55">
                  <c:v>2019</c:v>
                </c:pt>
                <c:pt idx="56">
                  <c:v>2020</c:v>
                </c:pt>
                <c:pt idx="57">
                  <c:v>2021</c:v>
                </c:pt>
                <c:pt idx="58">
                  <c:v>2022</c:v>
                </c:pt>
                <c:pt idx="59">
                  <c:v>2023</c:v>
                </c:pt>
                <c:pt idx="60">
                  <c:v>2024</c:v>
                </c:pt>
                <c:pt idx="61">
                  <c:v>2025</c:v>
                </c:pt>
              </c:numCache>
            </c:numRef>
          </c:cat>
          <c:val>
            <c:numRef>
              <c:f>'Cigarette  and Tobacco Taxes'!$J$46:$J$107</c:f>
              <c:numCache>
                <c:formatCode>#,##0</c:formatCode>
                <c:ptCount val="62"/>
                <c:pt idx="0">
                  <c:v>587117.6470588235</c:v>
                </c:pt>
                <c:pt idx="1">
                  <c:v>728819.3548387097</c:v>
                </c:pt>
                <c:pt idx="2">
                  <c:v>614107.93650793645</c:v>
                </c:pt>
                <c:pt idx="3">
                  <c:v>565293.20987654314</c:v>
                </c:pt>
                <c:pt idx="4">
                  <c:v>537640.71856287436</c:v>
                </c:pt>
                <c:pt idx="5">
                  <c:v>525459.77011494257</c:v>
                </c:pt>
                <c:pt idx="6">
                  <c:v>519989.10081743862</c:v>
                </c:pt>
                <c:pt idx="7">
                  <c:v>553719.07216494856</c:v>
                </c:pt>
                <c:pt idx="8">
                  <c:v>551614.81481481483</c:v>
                </c:pt>
                <c:pt idx="9">
                  <c:v>547741.62679425837</c:v>
                </c:pt>
                <c:pt idx="10">
                  <c:v>536716.21621621621</c:v>
                </c:pt>
                <c:pt idx="11">
                  <c:v>543012.17038539553</c:v>
                </c:pt>
                <c:pt idx="12">
                  <c:v>491200.74349442386</c:v>
                </c:pt>
                <c:pt idx="13">
                  <c:v>531295.25483304053</c:v>
                </c:pt>
                <c:pt idx="14">
                  <c:v>518462.04620462045</c:v>
                </c:pt>
                <c:pt idx="15">
                  <c:v>513078.22085889569</c:v>
                </c:pt>
                <c:pt idx="16">
                  <c:v>575253.4435261708</c:v>
                </c:pt>
                <c:pt idx="17">
                  <c:v>604945.38834951457</c:v>
                </c:pt>
                <c:pt idx="18">
                  <c:v>608105.61056105606</c:v>
                </c:pt>
                <c:pt idx="19">
                  <c:v>624051.81347150262</c:v>
                </c:pt>
                <c:pt idx="20">
                  <c:v>670718.87550200801</c:v>
                </c:pt>
                <c:pt idx="21">
                  <c:v>671096.24639076029</c:v>
                </c:pt>
                <c:pt idx="22">
                  <c:v>822914.49814126408</c:v>
                </c:pt>
                <c:pt idx="23">
                  <c:v>1035791.9708029198</c:v>
                </c:pt>
                <c:pt idx="24">
                  <c:v>1127815.1408450706</c:v>
                </c:pt>
                <c:pt idx="25">
                  <c:v>1244674.5562130178</c:v>
                </c:pt>
                <c:pt idx="26">
                  <c:v>1378009.6774193549</c:v>
                </c:pt>
                <c:pt idx="27">
                  <c:v>1452637.337413925</c:v>
                </c:pt>
                <c:pt idx="28">
                  <c:v>1336124.8164464026</c:v>
                </c:pt>
                <c:pt idx="29">
                  <c:v>1645258.7312900927</c:v>
                </c:pt>
                <c:pt idx="30">
                  <c:v>1742450.5190311419</c:v>
                </c:pt>
                <c:pt idx="31">
                  <c:v>2132454.1160593792</c:v>
                </c:pt>
                <c:pt idx="32">
                  <c:v>2241212.5984251969</c:v>
                </c:pt>
                <c:pt idx="33">
                  <c:v>2355567.8776290631</c:v>
                </c:pt>
                <c:pt idx="34">
                  <c:v>2573043.6137071652</c:v>
                </c:pt>
                <c:pt idx="35">
                  <c:v>2458821.4723926382</c:v>
                </c:pt>
                <c:pt idx="36">
                  <c:v>2498161.4645858346</c:v>
                </c:pt>
                <c:pt idx="37">
                  <c:v>2746369.3379790941</c:v>
                </c:pt>
                <c:pt idx="38">
                  <c:v>2854320.7227555057</c:v>
                </c:pt>
                <c:pt idx="39">
                  <c:v>2956346.3035019455</c:v>
                </c:pt>
                <c:pt idx="40">
                  <c:v>3146779.8913043477</c:v>
                </c:pt>
                <c:pt idx="41">
                  <c:v>3446742.7210164107</c:v>
                </c:pt>
                <c:pt idx="42">
                  <c:v>3463370.7117255502</c:v>
                </c:pt>
                <c:pt idx="43">
                  <c:v>3628119.5436507938</c:v>
                </c:pt>
                <c:pt idx="44">
                  <c:v>3789601.2385334373</c:v>
                </c:pt>
                <c:pt idx="45">
                  <c:v>3832814.6844214899</c:v>
                </c:pt>
                <c:pt idx="46">
                  <c:v>4099777.1946097873</c:v>
                </c:pt>
                <c:pt idx="47">
                  <c:v>8750886.9281285536</c:v>
                </c:pt>
                <c:pt idx="48">
                  <c:v>8959585.0430561174</c:v>
                </c:pt>
                <c:pt idx="49">
                  <c:v>8703173.8634284865</c:v>
                </c:pt>
                <c:pt idx="50">
                  <c:v>8875640.998124117</c:v>
                </c:pt>
                <c:pt idx="51">
                  <c:v>8570796.5835360922</c:v>
                </c:pt>
                <c:pt idx="52">
                  <c:v>9164086.5423155297</c:v>
                </c:pt>
                <c:pt idx="53">
                  <c:v>8932584.6067310404</c:v>
                </c:pt>
                <c:pt idx="54">
                  <c:v>8987098.9456163216</c:v>
                </c:pt>
                <c:pt idx="55">
                  <c:v>8555422.5887768958</c:v>
                </c:pt>
                <c:pt idx="56">
                  <c:v>8285068.4255302502</c:v>
                </c:pt>
                <c:pt idx="57">
                  <c:v>7983502.1656730184</c:v>
                </c:pt>
                <c:pt idx="58">
                  <c:v>7708563.5837243656</c:v>
                </c:pt>
                <c:pt idx="59">
                  <c:v>6738906.2206352195</c:v>
                </c:pt>
                <c:pt idx="60">
                  <c:v>6993496.4522713991</c:v>
                </c:pt>
                <c:pt idx="61">
                  <c:v>6496243.8179215733</c:v>
                </c:pt>
              </c:numCache>
            </c:numRef>
          </c:val>
          <c:smooth val="0"/>
          <c:extLst>
            <c:ext xmlns:c16="http://schemas.microsoft.com/office/drawing/2014/chart" uri="{C3380CC4-5D6E-409C-BE32-E72D297353CC}">
              <c16:uniqueId val="{00000001-A413-4171-A39F-C39CD2373BA7}"/>
            </c:ext>
          </c:extLst>
        </c:ser>
        <c:dLbls>
          <c:showLegendKey val="0"/>
          <c:showVal val="0"/>
          <c:showCatName val="0"/>
          <c:showSerName val="0"/>
          <c:showPercent val="0"/>
          <c:showBubbleSize val="0"/>
        </c:dLbls>
        <c:marker val="1"/>
        <c:smooth val="0"/>
        <c:axId val="56671616"/>
        <c:axId val="56788864"/>
      </c:lineChart>
      <c:catAx>
        <c:axId val="56671616"/>
        <c:scaling>
          <c:orientation val="minMax"/>
        </c:scaling>
        <c:delete val="0"/>
        <c:axPos val="b"/>
        <c:title>
          <c:tx>
            <c:rich>
              <a:bodyPr rot="0" vert="horz" anchor="ctr" anchorCtr="1"/>
              <a:lstStyle/>
              <a:p>
                <a:pPr algn="ctr">
                  <a:defRPr sz="1200" b="1" i="0" u="none" strike="noStrike" baseline="0">
                    <a:solidFill>
                      <a:srgbClr val="000000"/>
                    </a:solidFill>
                    <a:latin typeface="Times New Roman"/>
                    <a:ea typeface="Times New Roman"/>
                    <a:cs typeface="Times New Roman"/>
                  </a:defRPr>
                </a:pPr>
                <a:r>
                  <a:rPr lang="en-US"/>
                  <a:t>Fiscal Year</a:t>
                </a:r>
              </a:p>
            </c:rich>
          </c:tx>
          <c:layout>
            <c:manualLayout>
              <c:xMode val="edge"/>
              <c:yMode val="edge"/>
              <c:x val="0.50326940323682112"/>
              <c:y val="0.92711440481703922"/>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Times New Roman"/>
                <a:ea typeface="Times New Roman"/>
                <a:cs typeface="Times New Roman"/>
              </a:defRPr>
            </a:pPr>
            <a:endParaRPr lang="en-US"/>
          </a:p>
        </c:txPr>
        <c:crossAx val="56788864"/>
        <c:crosses val="autoZero"/>
        <c:auto val="0"/>
        <c:lblAlgn val="ctr"/>
        <c:lblOffset val="100"/>
        <c:tickLblSkip val="3"/>
        <c:tickMarkSkip val="1"/>
        <c:noMultiLvlLbl val="0"/>
      </c:catAx>
      <c:valAx>
        <c:axId val="56788864"/>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Times New Roman"/>
                    <a:ea typeface="Times New Roman"/>
                    <a:cs typeface="Times New Roman"/>
                  </a:defRPr>
                </a:pPr>
                <a:r>
                  <a:rPr lang="en-US"/>
                  <a:t>Collections</a:t>
                </a:r>
              </a:p>
            </c:rich>
          </c:tx>
          <c:layout>
            <c:manualLayout>
              <c:xMode val="edge"/>
              <c:yMode val="edge"/>
              <c:x val="1.4314088481886473E-2"/>
              <c:y val="0.35621334663483806"/>
            </c:manualLayout>
          </c:layout>
          <c:overlay val="0"/>
          <c:spPr>
            <a:noFill/>
            <a:ln w="25400">
              <a:noFill/>
            </a:ln>
          </c:spPr>
        </c:title>
        <c:numFmt formatCode="\$#,##0_);\(\$#,##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en-US"/>
          </a:p>
        </c:txPr>
        <c:crossAx val="56671616"/>
        <c:crosses val="autoZero"/>
        <c:crossBetween val="midCat"/>
      </c:valAx>
      <c:spPr>
        <a:noFill/>
        <a:ln w="3175">
          <a:solidFill>
            <a:srgbClr val="000000"/>
          </a:solidFill>
          <a:prstDash val="solid"/>
        </a:ln>
      </c:spPr>
    </c:plotArea>
    <c:legend>
      <c:legendPos val="r"/>
      <c:layout>
        <c:manualLayout>
          <c:xMode val="edge"/>
          <c:yMode val="edge"/>
          <c:x val="0.23181460925942329"/>
          <c:y val="0.22616011701073466"/>
          <c:w val="0.55415101325501182"/>
          <c:h val="6.4664552677521636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oddHeader>&amp;A</c:oddHeader>
      <c:oddFooter>&amp;L&amp;"Times New Roman,Regular"&amp;8Real numbers are based on using the CPI of the previous year.
The CPI base period for real numbers: 1982 to 1984 = 100.&amp;R&amp;"Times New Roman,Regular"&amp;8Economic and Statistical Unit
Utah State Tax Commission</c:oddFooter>
    </c:headerFooter>
    <c:pageMargins b="1" l="0.75000000000000722" r="0.75000000000000722" t="1" header="0.5" footer="0.5"/>
    <c:pageSetup orientation="landscape"/>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b="1" i="0" u="none" strike="noStrike" baseline="0">
                <a:solidFill>
                  <a:srgbClr val="000000"/>
                </a:solidFill>
                <a:latin typeface="Times New Roman"/>
                <a:ea typeface="Times New Roman"/>
                <a:cs typeface="Times New Roman"/>
              </a:defRPr>
            </a:pPr>
            <a:r>
              <a:rPr lang="en-US"/>
              <a:t>Tobacco Tax: Real Per Capita</a:t>
            </a:r>
          </a:p>
        </c:rich>
      </c:tx>
      <c:layout>
        <c:manualLayout>
          <c:xMode val="edge"/>
          <c:yMode val="edge"/>
          <c:x val="0.31073893243475237"/>
          <c:y val="3.0092561465394772E-2"/>
        </c:manualLayout>
      </c:layout>
      <c:overlay val="0"/>
      <c:spPr>
        <a:noFill/>
        <a:ln w="25400">
          <a:noFill/>
        </a:ln>
      </c:spPr>
    </c:title>
    <c:autoTitleDeleted val="0"/>
    <c:plotArea>
      <c:layout>
        <c:manualLayout>
          <c:layoutTarget val="inner"/>
          <c:xMode val="edge"/>
          <c:yMode val="edge"/>
          <c:x val="0.15175721784777152"/>
          <c:y val="0.13838096284010609"/>
          <c:w val="0.78496538713910768"/>
          <c:h val="0.67212013696088391"/>
        </c:manualLayout>
      </c:layout>
      <c:areaChart>
        <c:grouping val="stacked"/>
        <c:varyColors val="0"/>
        <c:ser>
          <c:idx val="0"/>
          <c:order val="0"/>
          <c:tx>
            <c:v>Real Per Capita</c:v>
          </c:tx>
          <c:spPr>
            <a:ln>
              <a:solidFill>
                <a:srgbClr val="000000"/>
              </a:solidFill>
            </a:ln>
          </c:spPr>
          <c:cat>
            <c:numRef>
              <c:f>'Cigarette  and Tobacco Taxes'!$A$46:$A$107</c:f>
              <c:numCache>
                <c:formatCode>General</c:formatCode>
                <c:ptCount val="62"/>
                <c:pt idx="0">
                  <c:v>1964</c:v>
                </c:pt>
                <c:pt idx="1">
                  <c:v>1965</c:v>
                </c:pt>
                <c:pt idx="2">
                  <c:v>1966</c:v>
                </c:pt>
                <c:pt idx="3">
                  <c:v>1967</c:v>
                </c:pt>
                <c:pt idx="4">
                  <c:v>1968</c:v>
                </c:pt>
                <c:pt idx="5">
                  <c:v>1969</c:v>
                </c:pt>
                <c:pt idx="6">
                  <c:v>1970</c:v>
                </c:pt>
                <c:pt idx="7">
                  <c:v>1971</c:v>
                </c:pt>
                <c:pt idx="8">
                  <c:v>1972</c:v>
                </c:pt>
                <c:pt idx="9">
                  <c:v>1973</c:v>
                </c:pt>
                <c:pt idx="10">
                  <c:v>1974</c:v>
                </c:pt>
                <c:pt idx="11">
                  <c:v>1975</c:v>
                </c:pt>
                <c:pt idx="12">
                  <c:v>1976</c:v>
                </c:pt>
                <c:pt idx="13">
                  <c:v>1977</c:v>
                </c:pt>
                <c:pt idx="14">
                  <c:v>1978</c:v>
                </c:pt>
                <c:pt idx="15">
                  <c:v>1979</c:v>
                </c:pt>
                <c:pt idx="16">
                  <c:v>1980</c:v>
                </c:pt>
                <c:pt idx="17">
                  <c:v>1981</c:v>
                </c:pt>
                <c:pt idx="18">
                  <c:v>1982</c:v>
                </c:pt>
                <c:pt idx="19">
                  <c:v>1983</c:v>
                </c:pt>
                <c:pt idx="20">
                  <c:v>1984</c:v>
                </c:pt>
                <c:pt idx="21">
                  <c:v>1985</c:v>
                </c:pt>
                <c:pt idx="22">
                  <c:v>1986</c:v>
                </c:pt>
                <c:pt idx="23">
                  <c:v>1987</c:v>
                </c:pt>
                <c:pt idx="24">
                  <c:v>1988</c:v>
                </c:pt>
                <c:pt idx="25">
                  <c:v>1989</c:v>
                </c:pt>
                <c:pt idx="26">
                  <c:v>1990</c:v>
                </c:pt>
                <c:pt idx="27">
                  <c:v>1991</c:v>
                </c:pt>
                <c:pt idx="28">
                  <c:v>1992</c:v>
                </c:pt>
                <c:pt idx="29">
                  <c:v>1993</c:v>
                </c:pt>
                <c:pt idx="30">
                  <c:v>1994</c:v>
                </c:pt>
                <c:pt idx="31">
                  <c:v>1995</c:v>
                </c:pt>
                <c:pt idx="32">
                  <c:v>1996</c:v>
                </c:pt>
                <c:pt idx="33">
                  <c:v>1997</c:v>
                </c:pt>
                <c:pt idx="34">
                  <c:v>1998</c:v>
                </c:pt>
                <c:pt idx="35">
                  <c:v>1999</c:v>
                </c:pt>
                <c:pt idx="36">
                  <c:v>2000</c:v>
                </c:pt>
                <c:pt idx="37">
                  <c:v>2001</c:v>
                </c:pt>
                <c:pt idx="38">
                  <c:v>2002</c:v>
                </c:pt>
                <c:pt idx="39">
                  <c:v>2003</c:v>
                </c:pt>
                <c:pt idx="40">
                  <c:v>2004</c:v>
                </c:pt>
                <c:pt idx="41">
                  <c:v>2005</c:v>
                </c:pt>
                <c:pt idx="42">
                  <c:v>2006</c:v>
                </c:pt>
                <c:pt idx="43">
                  <c:v>2007</c:v>
                </c:pt>
                <c:pt idx="44">
                  <c:v>2008</c:v>
                </c:pt>
                <c:pt idx="45">
                  <c:v>2009</c:v>
                </c:pt>
                <c:pt idx="46">
                  <c:v>2010</c:v>
                </c:pt>
                <c:pt idx="47">
                  <c:v>2011</c:v>
                </c:pt>
                <c:pt idx="48">
                  <c:v>2012</c:v>
                </c:pt>
                <c:pt idx="49">
                  <c:v>2013</c:v>
                </c:pt>
                <c:pt idx="50">
                  <c:v>2014</c:v>
                </c:pt>
                <c:pt idx="51">
                  <c:v>2015</c:v>
                </c:pt>
                <c:pt idx="52">
                  <c:v>2016</c:v>
                </c:pt>
                <c:pt idx="53">
                  <c:v>2017</c:v>
                </c:pt>
                <c:pt idx="54">
                  <c:v>2018</c:v>
                </c:pt>
                <c:pt idx="55">
                  <c:v>2019</c:v>
                </c:pt>
                <c:pt idx="56">
                  <c:v>2020</c:v>
                </c:pt>
                <c:pt idx="57">
                  <c:v>2021</c:v>
                </c:pt>
                <c:pt idx="58">
                  <c:v>2022</c:v>
                </c:pt>
                <c:pt idx="59">
                  <c:v>2023</c:v>
                </c:pt>
                <c:pt idx="60">
                  <c:v>2024</c:v>
                </c:pt>
                <c:pt idx="61">
                  <c:v>2025</c:v>
                </c:pt>
              </c:numCache>
            </c:numRef>
          </c:cat>
          <c:val>
            <c:numRef>
              <c:f>'Cigarette  and Tobacco Taxes'!$K$46:$K$107</c:f>
              <c:numCache>
                <c:formatCode>#,##0.00_);[Red]\(#,##0.00\)</c:formatCode>
                <c:ptCount val="62"/>
                <c:pt idx="0">
                  <c:v>0.60279019205218021</c:v>
                </c:pt>
                <c:pt idx="1">
                  <c:v>0.74521406425225944</c:v>
                </c:pt>
                <c:pt idx="2">
                  <c:v>0.61968510242980468</c:v>
                </c:pt>
                <c:pt idx="3">
                  <c:v>0.5602509513147107</c:v>
                </c:pt>
                <c:pt idx="4">
                  <c:v>0.52761601429133898</c:v>
                </c:pt>
                <c:pt idx="5">
                  <c:v>0.51065089418361764</c:v>
                </c:pt>
                <c:pt idx="6">
                  <c:v>0.49664670565180385</c:v>
                </c:pt>
                <c:pt idx="7">
                  <c:v>0.51943627782828194</c:v>
                </c:pt>
                <c:pt idx="8">
                  <c:v>0.50094429897363191</c:v>
                </c:pt>
                <c:pt idx="9">
                  <c:v>0.48254922631861363</c:v>
                </c:pt>
                <c:pt idx="10">
                  <c:v>0.4591438609146809</c:v>
                </c:pt>
                <c:pt idx="11">
                  <c:v>0.45366320262784204</c:v>
                </c:pt>
                <c:pt idx="12">
                  <c:v>0.39808796782107453</c:v>
                </c:pt>
                <c:pt idx="13">
                  <c:v>0.41766853097994616</c:v>
                </c:pt>
                <c:pt idx="14">
                  <c:v>0.39398308917863173</c:v>
                </c:pt>
                <c:pt idx="15">
                  <c:v>0.37622600979570719</c:v>
                </c:pt>
                <c:pt idx="16">
                  <c:v>0.40626677744706435</c:v>
                </c:pt>
                <c:pt idx="17">
                  <c:v>0.41041071122762185</c:v>
                </c:pt>
                <c:pt idx="18">
                  <c:v>0.40138984195449245</c:v>
                </c:pt>
                <c:pt idx="19">
                  <c:v>0.40054673521919293</c:v>
                </c:pt>
                <c:pt idx="20">
                  <c:v>0.42051340156865707</c:v>
                </c:pt>
                <c:pt idx="21">
                  <c:v>0.4137461445072505</c:v>
                </c:pt>
                <c:pt idx="22">
                  <c:v>0.50086092400563853</c:v>
                </c:pt>
                <c:pt idx="23">
                  <c:v>0.62284544245515328</c:v>
                </c:pt>
                <c:pt idx="24">
                  <c:v>0.67211867750004206</c:v>
                </c:pt>
                <c:pt idx="25">
                  <c:v>0.73649382024438925</c:v>
                </c:pt>
                <c:pt idx="26">
                  <c:v>0.80774306999962187</c:v>
                </c:pt>
                <c:pt idx="27">
                  <c:v>0.8400501133824102</c:v>
                </c:pt>
                <c:pt idx="28">
                  <c:v>0.7502652166898216</c:v>
                </c:pt>
                <c:pt idx="29">
                  <c:v>0.89506276764837489</c:v>
                </c:pt>
                <c:pt idx="30">
                  <c:v>0.922227677900332</c:v>
                </c:pt>
                <c:pt idx="31">
                  <c:v>1.0954081843568644</c:v>
                </c:pt>
                <c:pt idx="32">
                  <c:v>1.1232864607078474</c:v>
                </c:pt>
                <c:pt idx="33">
                  <c:v>1.1530549459169241</c:v>
                </c:pt>
                <c:pt idx="34">
                  <c:v>1.2256037835920324</c:v>
                </c:pt>
                <c:pt idx="35">
                  <c:v>1.1481064311668103</c:v>
                </c:pt>
                <c:pt idx="36">
                  <c:v>1.139145242385974</c:v>
                </c:pt>
                <c:pt idx="37">
                  <c:v>1.2225276914601473</c:v>
                </c:pt>
                <c:pt idx="38">
                  <c:v>1.2460832777106712</c:v>
                </c:pt>
                <c:pt idx="39">
                  <c:v>1.2678245733180544</c:v>
                </c:pt>
                <c:pt idx="40">
                  <c:v>1.3263795992613348</c:v>
                </c:pt>
                <c:pt idx="41">
                  <c:v>1.4182824872517505</c:v>
                </c:pt>
                <c:pt idx="42">
                  <c:v>1.3821179985041163</c:v>
                </c:pt>
                <c:pt idx="43">
                  <c:v>1.4083063049328277</c:v>
                </c:pt>
                <c:pt idx="44">
                  <c:v>1.4375923441227725</c:v>
                </c:pt>
                <c:pt idx="45">
                  <c:v>1.4242441198955269</c:v>
                </c:pt>
                <c:pt idx="46">
                  <c:v>1.5008922354294936</c:v>
                </c:pt>
                <c:pt idx="47">
                  <c:v>3.1561266428962478</c:v>
                </c:pt>
                <c:pt idx="48">
                  <c:v>3.1748037334926895</c:v>
                </c:pt>
                <c:pt idx="49">
                  <c:v>3.0352097748850797</c:v>
                </c:pt>
                <c:pt idx="50">
                  <c:v>3.0542238183223942</c:v>
                </c:pt>
                <c:pt idx="51">
                  <c:v>2.9083230381489322</c:v>
                </c:pt>
                <c:pt idx="52">
                  <c:v>3.0508396595541214</c:v>
                </c:pt>
                <c:pt idx="53">
                  <c:v>2.9168728045637127</c:v>
                </c:pt>
                <c:pt idx="54">
                  <c:v>2.8781950337306914</c:v>
                </c:pt>
                <c:pt idx="55">
                  <c:v>2.6934829837194778</c:v>
                </c:pt>
                <c:pt idx="56">
                  <c:v>2.5641569123343655</c:v>
                </c:pt>
                <c:pt idx="57">
                  <c:v>2.4304208067445394</c:v>
                </c:pt>
                <c:pt idx="58">
                  <c:v>2.3061974476806735</c:v>
                </c:pt>
                <c:pt idx="59">
                  <c:v>1.9817437105012186</c:v>
                </c:pt>
                <c:pt idx="60">
                  <c:v>2.0232986789003422</c:v>
                </c:pt>
                <c:pt idx="61">
                  <c:v>1.8524505032515255</c:v>
                </c:pt>
              </c:numCache>
            </c:numRef>
          </c:val>
          <c:extLst>
            <c:ext xmlns:c16="http://schemas.microsoft.com/office/drawing/2014/chart" uri="{C3380CC4-5D6E-409C-BE32-E72D297353CC}">
              <c16:uniqueId val="{00000000-E670-49AF-B564-7D49CE95B190}"/>
            </c:ext>
          </c:extLst>
        </c:ser>
        <c:dLbls>
          <c:showLegendKey val="0"/>
          <c:showVal val="0"/>
          <c:showCatName val="0"/>
          <c:showSerName val="0"/>
          <c:showPercent val="0"/>
          <c:showBubbleSize val="0"/>
        </c:dLbls>
        <c:axId val="56784768"/>
        <c:axId val="56832000"/>
      </c:areaChart>
      <c:catAx>
        <c:axId val="56784768"/>
        <c:scaling>
          <c:orientation val="minMax"/>
        </c:scaling>
        <c:delete val="0"/>
        <c:axPos val="b"/>
        <c:title>
          <c:tx>
            <c:rich>
              <a:bodyPr/>
              <a:lstStyle/>
              <a:p>
                <a:pPr>
                  <a:defRPr sz="1200" b="1" i="0" u="none" strike="noStrike" baseline="0">
                    <a:solidFill>
                      <a:srgbClr val="000000"/>
                    </a:solidFill>
                    <a:latin typeface="Times New Roman"/>
                    <a:ea typeface="Times New Roman"/>
                    <a:cs typeface="Times New Roman"/>
                  </a:defRPr>
                </a:pPr>
                <a:r>
                  <a:rPr lang="en-US"/>
                  <a:t>Fiscal Year</a:t>
                </a:r>
              </a:p>
            </c:rich>
          </c:tx>
          <c:layout>
            <c:manualLayout>
              <c:xMode val="edge"/>
              <c:yMode val="edge"/>
              <c:x val="0.49160113201811934"/>
              <c:y val="0.91939942734431568"/>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Times New Roman"/>
                <a:ea typeface="Times New Roman"/>
                <a:cs typeface="Times New Roman"/>
              </a:defRPr>
            </a:pPr>
            <a:endParaRPr lang="en-US"/>
          </a:p>
        </c:txPr>
        <c:crossAx val="56832000"/>
        <c:crosses val="autoZero"/>
        <c:auto val="0"/>
        <c:lblAlgn val="ctr"/>
        <c:lblOffset val="100"/>
        <c:tickLblSkip val="3"/>
        <c:tickMarkSkip val="1"/>
        <c:noMultiLvlLbl val="0"/>
      </c:catAx>
      <c:valAx>
        <c:axId val="56832000"/>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Times New Roman"/>
                    <a:ea typeface="Times New Roman"/>
                    <a:cs typeface="Times New Roman"/>
                  </a:defRPr>
                </a:pPr>
                <a:r>
                  <a:rPr lang="en-US"/>
                  <a:t>Real Dollars</a:t>
                </a:r>
              </a:p>
            </c:rich>
          </c:tx>
          <c:layout>
            <c:manualLayout>
              <c:xMode val="edge"/>
              <c:yMode val="edge"/>
              <c:x val="3.2985694416684051E-2"/>
              <c:y val="0.3382851520984469"/>
            </c:manualLayout>
          </c:layout>
          <c:overlay val="0"/>
          <c:spPr>
            <a:noFill/>
            <a:ln w="25400">
              <a:noFill/>
            </a:ln>
          </c:spPr>
        </c:title>
        <c:numFmt formatCode="&quot;$&quot;#,##0.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en-US"/>
          </a:p>
        </c:txPr>
        <c:crossAx val="56784768"/>
        <c:crosses val="autoZero"/>
        <c:crossBetween val="midCat"/>
      </c:valAx>
      <c:spPr>
        <a:noFill/>
        <a:ln w="3175">
          <a:solidFill>
            <a:srgbClr val="00000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&amp;L&amp;"Times New Roman,Regular"&amp;8Real numbers are based on using the CPI and population of the previous year.
The CPI base period for real numbers: 1982 to 1984 = 100.&amp;R&amp;"Times New Roman,Regular"&amp;8Economic and Statistical Unit
Utah State Tax Commission</c:oddFooter>
    </c:headerFooter>
    <c:pageMargins b="1" l="0.75000000000000644" r="0.75000000000000644" t="1"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b="1" i="0" u="none" strike="noStrike" baseline="0">
                <a:solidFill>
                  <a:srgbClr val="000000"/>
                </a:solidFill>
                <a:latin typeface="Times New Roman"/>
                <a:ea typeface="Times New Roman"/>
                <a:cs typeface="Times New Roman"/>
              </a:defRPr>
            </a:pPr>
            <a:r>
              <a:rPr lang="en-US"/>
              <a:t>Beer Tax: Rates</a:t>
            </a:r>
          </a:p>
        </c:rich>
      </c:tx>
      <c:layout>
        <c:manualLayout>
          <c:xMode val="edge"/>
          <c:yMode val="edge"/>
          <c:x val="0.39572450979161172"/>
          <c:y val="3.0092666988055072E-2"/>
        </c:manualLayout>
      </c:layout>
      <c:overlay val="0"/>
      <c:spPr>
        <a:noFill/>
        <a:ln w="25400">
          <a:noFill/>
        </a:ln>
      </c:spPr>
    </c:title>
    <c:autoTitleDeleted val="0"/>
    <c:plotArea>
      <c:layout>
        <c:manualLayout>
          <c:layoutTarget val="inner"/>
          <c:xMode val="edge"/>
          <c:yMode val="edge"/>
          <c:x val="0.12483475182729036"/>
          <c:y val="0.13838096284010609"/>
          <c:w val="0.81188769304500674"/>
          <c:h val="0.67212013696088413"/>
        </c:manualLayout>
      </c:layout>
      <c:areaChart>
        <c:grouping val="stacked"/>
        <c:varyColors val="0"/>
        <c:ser>
          <c:idx val="0"/>
          <c:order val="0"/>
          <c:spPr>
            <a:ln>
              <a:solidFill>
                <a:srgbClr val="000000"/>
              </a:solidFill>
            </a:ln>
          </c:spPr>
          <c:cat>
            <c:numRef>
              <c:f>'Beer Tax'!$A$4:$A$95</c:f>
              <c:numCache>
                <c:formatCode>General</c:formatCode>
                <c:ptCount val="92"/>
                <c:pt idx="0">
                  <c:v>1934</c:v>
                </c:pt>
                <c:pt idx="1">
                  <c:v>1935</c:v>
                </c:pt>
                <c:pt idx="2">
                  <c:v>1936</c:v>
                </c:pt>
                <c:pt idx="3">
                  <c:v>1937</c:v>
                </c:pt>
                <c:pt idx="4">
                  <c:v>1938</c:v>
                </c:pt>
                <c:pt idx="5">
                  <c:v>1939</c:v>
                </c:pt>
                <c:pt idx="6">
                  <c:v>1940</c:v>
                </c:pt>
                <c:pt idx="7">
                  <c:v>1941</c:v>
                </c:pt>
                <c:pt idx="8">
                  <c:v>1942</c:v>
                </c:pt>
                <c:pt idx="9">
                  <c:v>1943</c:v>
                </c:pt>
                <c:pt idx="10">
                  <c:v>1944</c:v>
                </c:pt>
                <c:pt idx="11">
                  <c:v>1945</c:v>
                </c:pt>
                <c:pt idx="12">
                  <c:v>1946</c:v>
                </c:pt>
                <c:pt idx="13">
                  <c:v>1947</c:v>
                </c:pt>
                <c:pt idx="14">
                  <c:v>1948</c:v>
                </c:pt>
                <c:pt idx="15">
                  <c:v>1949</c:v>
                </c:pt>
                <c:pt idx="16">
                  <c:v>1950</c:v>
                </c:pt>
                <c:pt idx="17">
                  <c:v>1951</c:v>
                </c:pt>
                <c:pt idx="18">
                  <c:v>1952</c:v>
                </c:pt>
                <c:pt idx="19">
                  <c:v>1953</c:v>
                </c:pt>
                <c:pt idx="20">
                  <c:v>1954</c:v>
                </c:pt>
                <c:pt idx="21">
                  <c:v>1955</c:v>
                </c:pt>
                <c:pt idx="22">
                  <c:v>1956</c:v>
                </c:pt>
                <c:pt idx="23">
                  <c:v>1957</c:v>
                </c:pt>
                <c:pt idx="24">
                  <c:v>1958</c:v>
                </c:pt>
                <c:pt idx="25">
                  <c:v>1959</c:v>
                </c:pt>
                <c:pt idx="26">
                  <c:v>1960</c:v>
                </c:pt>
                <c:pt idx="27">
                  <c:v>1961</c:v>
                </c:pt>
                <c:pt idx="28">
                  <c:v>1962</c:v>
                </c:pt>
                <c:pt idx="29">
                  <c:v>1963</c:v>
                </c:pt>
                <c:pt idx="30">
                  <c:v>1964</c:v>
                </c:pt>
                <c:pt idx="31">
                  <c:v>1965</c:v>
                </c:pt>
                <c:pt idx="32">
                  <c:v>1966</c:v>
                </c:pt>
                <c:pt idx="33">
                  <c:v>1967</c:v>
                </c:pt>
                <c:pt idx="34">
                  <c:v>1968</c:v>
                </c:pt>
                <c:pt idx="35">
                  <c:v>1969</c:v>
                </c:pt>
                <c:pt idx="36">
                  <c:v>1970</c:v>
                </c:pt>
                <c:pt idx="37">
                  <c:v>1971</c:v>
                </c:pt>
                <c:pt idx="38">
                  <c:v>1972</c:v>
                </c:pt>
                <c:pt idx="39">
                  <c:v>1973</c:v>
                </c:pt>
                <c:pt idx="40">
                  <c:v>1974</c:v>
                </c:pt>
                <c:pt idx="41">
                  <c:v>1975</c:v>
                </c:pt>
                <c:pt idx="42">
                  <c:v>1976</c:v>
                </c:pt>
                <c:pt idx="43">
                  <c:v>1977</c:v>
                </c:pt>
                <c:pt idx="44">
                  <c:v>1978</c:v>
                </c:pt>
                <c:pt idx="45">
                  <c:v>1979</c:v>
                </c:pt>
                <c:pt idx="46">
                  <c:v>1980</c:v>
                </c:pt>
                <c:pt idx="47">
                  <c:v>1981</c:v>
                </c:pt>
                <c:pt idx="48">
                  <c:v>1982</c:v>
                </c:pt>
                <c:pt idx="49">
                  <c:v>1983</c:v>
                </c:pt>
                <c:pt idx="50">
                  <c:v>1984</c:v>
                </c:pt>
                <c:pt idx="51">
                  <c:v>1985</c:v>
                </c:pt>
                <c:pt idx="52">
                  <c:v>1986</c:v>
                </c:pt>
                <c:pt idx="53">
                  <c:v>1987</c:v>
                </c:pt>
                <c:pt idx="54">
                  <c:v>1988</c:v>
                </c:pt>
                <c:pt idx="55">
                  <c:v>1989</c:v>
                </c:pt>
                <c:pt idx="56">
                  <c:v>1990</c:v>
                </c:pt>
                <c:pt idx="57">
                  <c:v>1991</c:v>
                </c:pt>
                <c:pt idx="58">
                  <c:v>1992</c:v>
                </c:pt>
                <c:pt idx="59">
                  <c:v>1993</c:v>
                </c:pt>
                <c:pt idx="60">
                  <c:v>1994</c:v>
                </c:pt>
                <c:pt idx="61">
                  <c:v>1995</c:v>
                </c:pt>
                <c:pt idx="62">
                  <c:v>1996</c:v>
                </c:pt>
                <c:pt idx="63">
                  <c:v>1997</c:v>
                </c:pt>
                <c:pt idx="64">
                  <c:v>1998</c:v>
                </c:pt>
                <c:pt idx="65">
                  <c:v>1999</c:v>
                </c:pt>
                <c:pt idx="66">
                  <c:v>2000</c:v>
                </c:pt>
                <c:pt idx="67">
                  <c:v>2001</c:v>
                </c:pt>
                <c:pt idx="68">
                  <c:v>2002</c:v>
                </c:pt>
                <c:pt idx="69">
                  <c:v>2003</c:v>
                </c:pt>
                <c:pt idx="70">
                  <c:v>2004</c:v>
                </c:pt>
                <c:pt idx="71">
                  <c:v>2005</c:v>
                </c:pt>
                <c:pt idx="72">
                  <c:v>2006</c:v>
                </c:pt>
                <c:pt idx="73">
                  <c:v>2007</c:v>
                </c:pt>
                <c:pt idx="74">
                  <c:v>2008</c:v>
                </c:pt>
                <c:pt idx="75">
                  <c:v>2009</c:v>
                </c:pt>
                <c:pt idx="76">
                  <c:v>2010</c:v>
                </c:pt>
                <c:pt idx="77">
                  <c:v>2011</c:v>
                </c:pt>
                <c:pt idx="78">
                  <c:v>2012</c:v>
                </c:pt>
                <c:pt idx="79">
                  <c:v>2013</c:v>
                </c:pt>
                <c:pt idx="80">
                  <c:v>2014</c:v>
                </c:pt>
                <c:pt idx="81">
                  <c:v>2015</c:v>
                </c:pt>
                <c:pt idx="82">
                  <c:v>2016</c:v>
                </c:pt>
                <c:pt idx="83">
                  <c:v>2017</c:v>
                </c:pt>
                <c:pt idx="84">
                  <c:v>2018</c:v>
                </c:pt>
                <c:pt idx="85">
                  <c:v>2019</c:v>
                </c:pt>
                <c:pt idx="86">
                  <c:v>2020</c:v>
                </c:pt>
                <c:pt idx="87">
                  <c:v>2021</c:v>
                </c:pt>
                <c:pt idx="88">
                  <c:v>2022</c:v>
                </c:pt>
                <c:pt idx="89">
                  <c:v>2023</c:v>
                </c:pt>
                <c:pt idx="90">
                  <c:v>2024</c:v>
                </c:pt>
                <c:pt idx="91">
                  <c:v>2025</c:v>
                </c:pt>
              </c:numCache>
            </c:numRef>
          </c:cat>
          <c:val>
            <c:numRef>
              <c:f>'Beer Tax'!$H$4:$H$95</c:f>
              <c:numCache>
                <c:formatCode>0.00</c:formatCode>
                <c:ptCount val="92"/>
                <c:pt idx="0">
                  <c:v>1.2</c:v>
                </c:pt>
                <c:pt idx="1">
                  <c:v>1.0900000000000001</c:v>
                </c:pt>
                <c:pt idx="2">
                  <c:v>0.8</c:v>
                </c:pt>
                <c:pt idx="3">
                  <c:v>0.8</c:v>
                </c:pt>
                <c:pt idx="4">
                  <c:v>0.8</c:v>
                </c:pt>
                <c:pt idx="5">
                  <c:v>0.8</c:v>
                </c:pt>
                <c:pt idx="6">
                  <c:v>0.8</c:v>
                </c:pt>
                <c:pt idx="7">
                  <c:v>0.8</c:v>
                </c:pt>
                <c:pt idx="8">
                  <c:v>0.8</c:v>
                </c:pt>
                <c:pt idx="9">
                  <c:v>0.8</c:v>
                </c:pt>
                <c:pt idx="10">
                  <c:v>0.8</c:v>
                </c:pt>
                <c:pt idx="11" formatCode="General">
                  <c:v>0.84</c:v>
                </c:pt>
                <c:pt idx="12">
                  <c:v>1.1000000000000001</c:v>
                </c:pt>
                <c:pt idx="13">
                  <c:v>1.1000000000000001</c:v>
                </c:pt>
                <c:pt idx="14">
                  <c:v>1.1000000000000001</c:v>
                </c:pt>
                <c:pt idx="15">
                  <c:v>1.1000000000000001</c:v>
                </c:pt>
                <c:pt idx="16">
                  <c:v>1.1000000000000001</c:v>
                </c:pt>
                <c:pt idx="17">
                  <c:v>1.1000000000000001</c:v>
                </c:pt>
                <c:pt idx="18">
                  <c:v>1.1000000000000001</c:v>
                </c:pt>
                <c:pt idx="19">
                  <c:v>1.1000000000000001</c:v>
                </c:pt>
                <c:pt idx="20">
                  <c:v>1.1000000000000001</c:v>
                </c:pt>
                <c:pt idx="21">
                  <c:v>1.1000000000000001</c:v>
                </c:pt>
                <c:pt idx="22">
                  <c:v>1.1000000000000001</c:v>
                </c:pt>
                <c:pt idx="23">
                  <c:v>1.1000000000000001</c:v>
                </c:pt>
                <c:pt idx="24">
                  <c:v>1.1000000000000001</c:v>
                </c:pt>
                <c:pt idx="25">
                  <c:v>1.1000000000000001</c:v>
                </c:pt>
                <c:pt idx="26">
                  <c:v>1.1000000000000001</c:v>
                </c:pt>
                <c:pt idx="27">
                  <c:v>1.1000000000000001</c:v>
                </c:pt>
                <c:pt idx="28">
                  <c:v>1.1000000000000001</c:v>
                </c:pt>
                <c:pt idx="29">
                  <c:v>1.1000000000000001</c:v>
                </c:pt>
                <c:pt idx="30">
                  <c:v>1.1000000000000001</c:v>
                </c:pt>
                <c:pt idx="31">
                  <c:v>1.1000000000000001</c:v>
                </c:pt>
                <c:pt idx="32">
                  <c:v>1.1000000000000001</c:v>
                </c:pt>
                <c:pt idx="33">
                  <c:v>1.1000000000000001</c:v>
                </c:pt>
                <c:pt idx="34">
                  <c:v>1.1000000000000001</c:v>
                </c:pt>
                <c:pt idx="35">
                  <c:v>1.1000000000000001</c:v>
                </c:pt>
                <c:pt idx="36">
                  <c:v>1.1000000000000001</c:v>
                </c:pt>
                <c:pt idx="37">
                  <c:v>1.1000000000000001</c:v>
                </c:pt>
                <c:pt idx="38">
                  <c:v>3.1</c:v>
                </c:pt>
                <c:pt idx="39">
                  <c:v>3.1</c:v>
                </c:pt>
                <c:pt idx="40">
                  <c:v>3.1</c:v>
                </c:pt>
                <c:pt idx="41">
                  <c:v>3.1</c:v>
                </c:pt>
                <c:pt idx="42">
                  <c:v>3.1</c:v>
                </c:pt>
                <c:pt idx="43">
                  <c:v>3.1</c:v>
                </c:pt>
                <c:pt idx="44">
                  <c:v>3.1</c:v>
                </c:pt>
                <c:pt idx="45">
                  <c:v>3.1</c:v>
                </c:pt>
                <c:pt idx="46">
                  <c:v>3.1</c:v>
                </c:pt>
                <c:pt idx="47">
                  <c:v>3.1</c:v>
                </c:pt>
                <c:pt idx="48" formatCode="General">
                  <c:v>4.12</c:v>
                </c:pt>
                <c:pt idx="49" formatCode="General">
                  <c:v>4.12</c:v>
                </c:pt>
                <c:pt idx="50">
                  <c:v>11</c:v>
                </c:pt>
                <c:pt idx="51">
                  <c:v>11</c:v>
                </c:pt>
                <c:pt idx="52">
                  <c:v>11</c:v>
                </c:pt>
                <c:pt idx="53">
                  <c:v>11</c:v>
                </c:pt>
                <c:pt idx="54">
                  <c:v>11</c:v>
                </c:pt>
                <c:pt idx="55">
                  <c:v>11</c:v>
                </c:pt>
                <c:pt idx="56">
                  <c:v>11</c:v>
                </c:pt>
                <c:pt idx="57">
                  <c:v>11</c:v>
                </c:pt>
                <c:pt idx="58">
                  <c:v>11</c:v>
                </c:pt>
                <c:pt idx="59">
                  <c:v>11</c:v>
                </c:pt>
                <c:pt idx="60">
                  <c:v>11</c:v>
                </c:pt>
                <c:pt idx="61">
                  <c:v>11</c:v>
                </c:pt>
                <c:pt idx="62">
                  <c:v>11</c:v>
                </c:pt>
                <c:pt idx="63">
                  <c:v>11</c:v>
                </c:pt>
                <c:pt idx="64">
                  <c:v>11</c:v>
                </c:pt>
                <c:pt idx="65">
                  <c:v>11</c:v>
                </c:pt>
                <c:pt idx="66">
                  <c:v>11</c:v>
                </c:pt>
                <c:pt idx="67">
                  <c:v>11</c:v>
                </c:pt>
                <c:pt idx="68">
                  <c:v>11</c:v>
                </c:pt>
                <c:pt idx="69">
                  <c:v>11</c:v>
                </c:pt>
                <c:pt idx="70">
                  <c:v>12.8</c:v>
                </c:pt>
                <c:pt idx="71">
                  <c:v>12.8</c:v>
                </c:pt>
                <c:pt idx="72">
                  <c:v>12.8</c:v>
                </c:pt>
                <c:pt idx="73">
                  <c:v>12.8</c:v>
                </c:pt>
                <c:pt idx="74">
                  <c:v>12.8</c:v>
                </c:pt>
                <c:pt idx="75">
                  <c:v>12.8</c:v>
                </c:pt>
                <c:pt idx="76">
                  <c:v>12.8</c:v>
                </c:pt>
                <c:pt idx="77">
                  <c:v>12.8</c:v>
                </c:pt>
                <c:pt idx="78">
                  <c:v>12.8</c:v>
                </c:pt>
                <c:pt idx="79">
                  <c:v>12.8</c:v>
                </c:pt>
                <c:pt idx="80">
                  <c:v>12.8</c:v>
                </c:pt>
                <c:pt idx="81">
                  <c:v>12.8</c:v>
                </c:pt>
                <c:pt idx="82">
                  <c:v>12.8</c:v>
                </c:pt>
                <c:pt idx="83">
                  <c:v>12.8</c:v>
                </c:pt>
                <c:pt idx="84">
                  <c:v>12.8</c:v>
                </c:pt>
                <c:pt idx="85">
                  <c:v>12.8</c:v>
                </c:pt>
                <c:pt idx="86">
                  <c:v>12.97</c:v>
                </c:pt>
                <c:pt idx="87">
                  <c:v>13.1</c:v>
                </c:pt>
                <c:pt idx="88">
                  <c:v>13.1</c:v>
                </c:pt>
                <c:pt idx="89">
                  <c:v>13.1</c:v>
                </c:pt>
                <c:pt idx="90">
                  <c:v>13.1</c:v>
                </c:pt>
                <c:pt idx="91">
                  <c:v>13.329166666666666</c:v>
                </c:pt>
              </c:numCache>
            </c:numRef>
          </c:val>
          <c:extLst>
            <c:ext xmlns:c16="http://schemas.microsoft.com/office/drawing/2014/chart" uri="{C3380CC4-5D6E-409C-BE32-E72D297353CC}">
              <c16:uniqueId val="{00000000-66B9-46EC-A3DB-10094C652178}"/>
            </c:ext>
          </c:extLst>
        </c:ser>
        <c:dLbls>
          <c:showLegendKey val="0"/>
          <c:showVal val="0"/>
          <c:showCatName val="0"/>
          <c:showSerName val="0"/>
          <c:showPercent val="0"/>
          <c:showBubbleSize val="0"/>
        </c:dLbls>
        <c:axId val="57193216"/>
        <c:axId val="57195136"/>
      </c:areaChart>
      <c:catAx>
        <c:axId val="57193216"/>
        <c:scaling>
          <c:orientation val="minMax"/>
        </c:scaling>
        <c:delete val="0"/>
        <c:axPos val="b"/>
        <c:title>
          <c:tx>
            <c:rich>
              <a:bodyPr/>
              <a:lstStyle/>
              <a:p>
                <a:pPr>
                  <a:defRPr sz="1200" b="1" i="0" u="none" strike="noStrike" baseline="0">
                    <a:solidFill>
                      <a:srgbClr val="000000"/>
                    </a:solidFill>
                    <a:latin typeface="Times New Roman"/>
                    <a:ea typeface="Times New Roman"/>
                    <a:cs typeface="Times New Roman"/>
                  </a:defRPr>
                </a:pPr>
                <a:r>
                  <a:rPr lang="en-US"/>
                  <a:t>Fiscal Year</a:t>
                </a:r>
              </a:p>
            </c:rich>
          </c:tx>
          <c:layout>
            <c:manualLayout>
              <c:xMode val="edge"/>
              <c:yMode val="edge"/>
              <c:x val="0.49160113201811928"/>
              <c:y val="0.91939942734431579"/>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Times New Roman"/>
                <a:ea typeface="Times New Roman"/>
                <a:cs typeface="Times New Roman"/>
              </a:defRPr>
            </a:pPr>
            <a:endParaRPr lang="en-US"/>
          </a:p>
        </c:txPr>
        <c:crossAx val="57195136"/>
        <c:crosses val="autoZero"/>
        <c:auto val="0"/>
        <c:lblAlgn val="ctr"/>
        <c:lblOffset val="100"/>
        <c:tickMarkSkip val="1"/>
        <c:noMultiLvlLbl val="0"/>
      </c:catAx>
      <c:valAx>
        <c:axId val="57195136"/>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Times New Roman"/>
                    <a:ea typeface="Times New Roman"/>
                    <a:cs typeface="Times New Roman"/>
                  </a:defRPr>
                </a:pPr>
                <a:r>
                  <a:rPr lang="en-US"/>
                  <a:t>Beer Tax Rate: Dollars</a:t>
                </a:r>
                <a:r>
                  <a:rPr lang="en-US" baseline="0"/>
                  <a:t> Per 31 Gallons</a:t>
                </a:r>
                <a:endParaRPr lang="en-US"/>
              </a:p>
            </c:rich>
          </c:tx>
          <c:layout>
            <c:manualLayout>
              <c:xMode val="edge"/>
              <c:yMode val="edge"/>
              <c:x val="2.8843806619972046E-2"/>
              <c:y val="0.15172984329339859"/>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en-US"/>
          </a:p>
        </c:txPr>
        <c:crossAx val="57193216"/>
        <c:crosses val="autoZero"/>
        <c:crossBetween val="midCat"/>
      </c:valAx>
      <c:spPr>
        <a:noFill/>
        <a:ln w="3175">
          <a:solidFill>
            <a:srgbClr val="00000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&amp;L&amp;"Times New Roman,Regular"&amp;8Real numbers are based on using the CPI and population of the previous year.
The CPI base period for real numbers: 1982 to 1984 = 100.&amp;R&amp;"Times New Roman,Regular"&amp;8Economic and Statistical Unit
Utah State Tax Commission</c:oddFooter>
    </c:headerFooter>
    <c:pageMargins b="1" l="0.75000000000000655" r="0.75000000000000655" t="1" header="0.5" footer="0.5"/>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nchor="b" anchorCtr="0"/>
          <a:lstStyle/>
          <a:p>
            <a:pPr>
              <a:defRPr sz="1400" b="1" i="0" u="none" strike="noStrike" baseline="0">
                <a:solidFill>
                  <a:srgbClr val="000000"/>
                </a:solidFill>
                <a:latin typeface="Times New Roman"/>
                <a:ea typeface="Times New Roman"/>
                <a:cs typeface="Times New Roman"/>
              </a:defRPr>
            </a:pPr>
            <a:r>
              <a:rPr lang="en-US"/>
              <a:t>Beer Tax: Collections</a:t>
            </a:r>
          </a:p>
        </c:rich>
      </c:tx>
      <c:layout>
        <c:manualLayout>
          <c:xMode val="edge"/>
          <c:yMode val="edge"/>
          <c:x val="0.36531460626702944"/>
          <c:y val="3.4174716435459294E-2"/>
        </c:manualLayout>
      </c:layout>
      <c:overlay val="0"/>
      <c:spPr>
        <a:noFill/>
        <a:ln w="25400">
          <a:noFill/>
        </a:ln>
      </c:spPr>
    </c:title>
    <c:autoTitleDeleted val="0"/>
    <c:plotArea>
      <c:layout>
        <c:manualLayout>
          <c:layoutTarget val="inner"/>
          <c:xMode val="edge"/>
          <c:yMode val="edge"/>
          <c:x val="0.18866146358990682"/>
          <c:y val="0.13438007805788066"/>
          <c:w val="0.75705792526831661"/>
          <c:h val="0.6752705837492422"/>
        </c:manualLayout>
      </c:layout>
      <c:areaChart>
        <c:grouping val="standard"/>
        <c:varyColors val="0"/>
        <c:ser>
          <c:idx val="0"/>
          <c:order val="0"/>
          <c:tx>
            <c:strRef>
              <c:f>'Beer Tax'!$E$3</c:f>
              <c:strCache>
                <c:ptCount val="1"/>
                <c:pt idx="0">
                  <c:v>Total Beer Tax Collections</c:v>
                </c:pt>
              </c:strCache>
            </c:strRef>
          </c:tx>
          <c:spPr>
            <a:solidFill>
              <a:srgbClr val="969696"/>
            </a:solidFill>
            <a:ln w="12700">
              <a:solidFill>
                <a:srgbClr val="000000"/>
              </a:solidFill>
              <a:prstDash val="solid"/>
            </a:ln>
          </c:spPr>
          <c:cat>
            <c:numRef>
              <c:f>'Beer Tax'!$A$4:$A$95</c:f>
              <c:numCache>
                <c:formatCode>General</c:formatCode>
                <c:ptCount val="92"/>
                <c:pt idx="0">
                  <c:v>1934</c:v>
                </c:pt>
                <c:pt idx="1">
                  <c:v>1935</c:v>
                </c:pt>
                <c:pt idx="2">
                  <c:v>1936</c:v>
                </c:pt>
                <c:pt idx="3">
                  <c:v>1937</c:v>
                </c:pt>
                <c:pt idx="4">
                  <c:v>1938</c:v>
                </c:pt>
                <c:pt idx="5">
                  <c:v>1939</c:v>
                </c:pt>
                <c:pt idx="6">
                  <c:v>1940</c:v>
                </c:pt>
                <c:pt idx="7">
                  <c:v>1941</c:v>
                </c:pt>
                <c:pt idx="8">
                  <c:v>1942</c:v>
                </c:pt>
                <c:pt idx="9">
                  <c:v>1943</c:v>
                </c:pt>
                <c:pt idx="10">
                  <c:v>1944</c:v>
                </c:pt>
                <c:pt idx="11">
                  <c:v>1945</c:v>
                </c:pt>
                <c:pt idx="12">
                  <c:v>1946</c:v>
                </c:pt>
                <c:pt idx="13">
                  <c:v>1947</c:v>
                </c:pt>
                <c:pt idx="14">
                  <c:v>1948</c:v>
                </c:pt>
                <c:pt idx="15">
                  <c:v>1949</c:v>
                </c:pt>
                <c:pt idx="16">
                  <c:v>1950</c:v>
                </c:pt>
                <c:pt idx="17">
                  <c:v>1951</c:v>
                </c:pt>
                <c:pt idx="18">
                  <c:v>1952</c:v>
                </c:pt>
                <c:pt idx="19">
                  <c:v>1953</c:v>
                </c:pt>
                <c:pt idx="20">
                  <c:v>1954</c:v>
                </c:pt>
                <c:pt idx="21">
                  <c:v>1955</c:v>
                </c:pt>
                <c:pt idx="22">
                  <c:v>1956</c:v>
                </c:pt>
                <c:pt idx="23">
                  <c:v>1957</c:v>
                </c:pt>
                <c:pt idx="24">
                  <c:v>1958</c:v>
                </c:pt>
                <c:pt idx="25">
                  <c:v>1959</c:v>
                </c:pt>
                <c:pt idx="26">
                  <c:v>1960</c:v>
                </c:pt>
                <c:pt idx="27">
                  <c:v>1961</c:v>
                </c:pt>
                <c:pt idx="28">
                  <c:v>1962</c:v>
                </c:pt>
                <c:pt idx="29">
                  <c:v>1963</c:v>
                </c:pt>
                <c:pt idx="30">
                  <c:v>1964</c:v>
                </c:pt>
                <c:pt idx="31">
                  <c:v>1965</c:v>
                </c:pt>
                <c:pt idx="32">
                  <c:v>1966</c:v>
                </c:pt>
                <c:pt idx="33">
                  <c:v>1967</c:v>
                </c:pt>
                <c:pt idx="34">
                  <c:v>1968</c:v>
                </c:pt>
                <c:pt idx="35">
                  <c:v>1969</c:v>
                </c:pt>
                <c:pt idx="36">
                  <c:v>1970</c:v>
                </c:pt>
                <c:pt idx="37">
                  <c:v>1971</c:v>
                </c:pt>
                <c:pt idx="38">
                  <c:v>1972</c:v>
                </c:pt>
                <c:pt idx="39">
                  <c:v>1973</c:v>
                </c:pt>
                <c:pt idx="40">
                  <c:v>1974</c:v>
                </c:pt>
                <c:pt idx="41">
                  <c:v>1975</c:v>
                </c:pt>
                <c:pt idx="42">
                  <c:v>1976</c:v>
                </c:pt>
                <c:pt idx="43">
                  <c:v>1977</c:v>
                </c:pt>
                <c:pt idx="44">
                  <c:v>1978</c:v>
                </c:pt>
                <c:pt idx="45">
                  <c:v>1979</c:v>
                </c:pt>
                <c:pt idx="46">
                  <c:v>1980</c:v>
                </c:pt>
                <c:pt idx="47">
                  <c:v>1981</c:v>
                </c:pt>
                <c:pt idx="48">
                  <c:v>1982</c:v>
                </c:pt>
                <c:pt idx="49">
                  <c:v>1983</c:v>
                </c:pt>
                <c:pt idx="50">
                  <c:v>1984</c:v>
                </c:pt>
                <c:pt idx="51">
                  <c:v>1985</c:v>
                </c:pt>
                <c:pt idx="52">
                  <c:v>1986</c:v>
                </c:pt>
                <c:pt idx="53">
                  <c:v>1987</c:v>
                </c:pt>
                <c:pt idx="54">
                  <c:v>1988</c:v>
                </c:pt>
                <c:pt idx="55">
                  <c:v>1989</c:v>
                </c:pt>
                <c:pt idx="56">
                  <c:v>1990</c:v>
                </c:pt>
                <c:pt idx="57">
                  <c:v>1991</c:v>
                </c:pt>
                <c:pt idx="58">
                  <c:v>1992</c:v>
                </c:pt>
                <c:pt idx="59">
                  <c:v>1993</c:v>
                </c:pt>
                <c:pt idx="60">
                  <c:v>1994</c:v>
                </c:pt>
                <c:pt idx="61">
                  <c:v>1995</c:v>
                </c:pt>
                <c:pt idx="62">
                  <c:v>1996</c:v>
                </c:pt>
                <c:pt idx="63">
                  <c:v>1997</c:v>
                </c:pt>
                <c:pt idx="64">
                  <c:v>1998</c:v>
                </c:pt>
                <c:pt idx="65">
                  <c:v>1999</c:v>
                </c:pt>
                <c:pt idx="66">
                  <c:v>2000</c:v>
                </c:pt>
                <c:pt idx="67">
                  <c:v>2001</c:v>
                </c:pt>
                <c:pt idx="68">
                  <c:v>2002</c:v>
                </c:pt>
                <c:pt idx="69">
                  <c:v>2003</c:v>
                </c:pt>
                <c:pt idx="70">
                  <c:v>2004</c:v>
                </c:pt>
                <c:pt idx="71">
                  <c:v>2005</c:v>
                </c:pt>
                <c:pt idx="72">
                  <c:v>2006</c:v>
                </c:pt>
                <c:pt idx="73">
                  <c:v>2007</c:v>
                </c:pt>
                <c:pt idx="74">
                  <c:v>2008</c:v>
                </c:pt>
                <c:pt idx="75">
                  <c:v>2009</c:v>
                </c:pt>
                <c:pt idx="76">
                  <c:v>2010</c:v>
                </c:pt>
                <c:pt idx="77">
                  <c:v>2011</c:v>
                </c:pt>
                <c:pt idx="78">
                  <c:v>2012</c:v>
                </c:pt>
                <c:pt idx="79">
                  <c:v>2013</c:v>
                </c:pt>
                <c:pt idx="80">
                  <c:v>2014</c:v>
                </c:pt>
                <c:pt idx="81">
                  <c:v>2015</c:v>
                </c:pt>
                <c:pt idx="82">
                  <c:v>2016</c:v>
                </c:pt>
                <c:pt idx="83">
                  <c:v>2017</c:v>
                </c:pt>
                <c:pt idx="84">
                  <c:v>2018</c:v>
                </c:pt>
                <c:pt idx="85">
                  <c:v>2019</c:v>
                </c:pt>
                <c:pt idx="86">
                  <c:v>2020</c:v>
                </c:pt>
                <c:pt idx="87">
                  <c:v>2021</c:v>
                </c:pt>
                <c:pt idx="88">
                  <c:v>2022</c:v>
                </c:pt>
                <c:pt idx="89">
                  <c:v>2023</c:v>
                </c:pt>
                <c:pt idx="90">
                  <c:v>2024</c:v>
                </c:pt>
                <c:pt idx="91">
                  <c:v>2025</c:v>
                </c:pt>
              </c:numCache>
            </c:numRef>
          </c:cat>
          <c:val>
            <c:numRef>
              <c:f>'Beer Tax'!$E$4:$E$95</c:f>
              <c:numCache>
                <c:formatCode>#,##0</c:formatCode>
                <c:ptCount val="92"/>
                <c:pt idx="0">
                  <c:v>85460</c:v>
                </c:pt>
                <c:pt idx="1">
                  <c:v>178321</c:v>
                </c:pt>
                <c:pt idx="2">
                  <c:v>104999</c:v>
                </c:pt>
                <c:pt idx="3">
                  <c:v>113539</c:v>
                </c:pt>
                <c:pt idx="4">
                  <c:v>120060</c:v>
                </c:pt>
                <c:pt idx="5">
                  <c:v>112698</c:v>
                </c:pt>
                <c:pt idx="6">
                  <c:v>116802</c:v>
                </c:pt>
                <c:pt idx="7">
                  <c:v>110364</c:v>
                </c:pt>
                <c:pt idx="8">
                  <c:v>124766</c:v>
                </c:pt>
                <c:pt idx="9">
                  <c:v>198745</c:v>
                </c:pt>
                <c:pt idx="10">
                  <c:v>198538</c:v>
                </c:pt>
                <c:pt idx="11">
                  <c:v>221057</c:v>
                </c:pt>
                <c:pt idx="12">
                  <c:v>307334</c:v>
                </c:pt>
                <c:pt idx="13">
                  <c:v>306978</c:v>
                </c:pt>
                <c:pt idx="14">
                  <c:v>305830</c:v>
                </c:pt>
                <c:pt idx="15">
                  <c:v>280164</c:v>
                </c:pt>
                <c:pt idx="16">
                  <c:v>277883</c:v>
                </c:pt>
                <c:pt idx="17">
                  <c:v>296063</c:v>
                </c:pt>
                <c:pt idx="18">
                  <c:v>269162</c:v>
                </c:pt>
                <c:pt idx="19">
                  <c:v>215159</c:v>
                </c:pt>
                <c:pt idx="20">
                  <c:v>218763</c:v>
                </c:pt>
                <c:pt idx="21">
                  <c:v>227938</c:v>
                </c:pt>
                <c:pt idx="22">
                  <c:v>258631</c:v>
                </c:pt>
                <c:pt idx="23">
                  <c:v>236399</c:v>
                </c:pt>
                <c:pt idx="24">
                  <c:v>255459</c:v>
                </c:pt>
                <c:pt idx="25">
                  <c:v>240420</c:v>
                </c:pt>
                <c:pt idx="26">
                  <c:v>253160</c:v>
                </c:pt>
                <c:pt idx="27">
                  <c:v>261234</c:v>
                </c:pt>
                <c:pt idx="28">
                  <c:v>285202</c:v>
                </c:pt>
                <c:pt idx="29">
                  <c:v>286060</c:v>
                </c:pt>
                <c:pt idx="30">
                  <c:v>309303</c:v>
                </c:pt>
                <c:pt idx="31">
                  <c:v>317027</c:v>
                </c:pt>
                <c:pt idx="32">
                  <c:v>302216</c:v>
                </c:pt>
                <c:pt idx="33">
                  <c:v>353280</c:v>
                </c:pt>
                <c:pt idx="34">
                  <c:v>342037</c:v>
                </c:pt>
                <c:pt idx="35">
                  <c:v>364256</c:v>
                </c:pt>
                <c:pt idx="36">
                  <c:v>408576</c:v>
                </c:pt>
                <c:pt idx="37">
                  <c:v>432680</c:v>
                </c:pt>
                <c:pt idx="38">
                  <c:v>1211902</c:v>
                </c:pt>
                <c:pt idx="39">
                  <c:v>1413886</c:v>
                </c:pt>
                <c:pt idx="40">
                  <c:v>1507619</c:v>
                </c:pt>
                <c:pt idx="41">
                  <c:v>1629922</c:v>
                </c:pt>
                <c:pt idx="42">
                  <c:v>1692821</c:v>
                </c:pt>
                <c:pt idx="43">
                  <c:v>1904552</c:v>
                </c:pt>
                <c:pt idx="44">
                  <c:v>1985418</c:v>
                </c:pt>
                <c:pt idx="45">
                  <c:v>1913438</c:v>
                </c:pt>
                <c:pt idx="46">
                  <c:v>2174058</c:v>
                </c:pt>
                <c:pt idx="47">
                  <c:v>2227120</c:v>
                </c:pt>
                <c:pt idx="48">
                  <c:v>2942982</c:v>
                </c:pt>
                <c:pt idx="49">
                  <c:v>2949304</c:v>
                </c:pt>
                <c:pt idx="50">
                  <c:v>7134426</c:v>
                </c:pt>
                <c:pt idx="51">
                  <c:v>8129900</c:v>
                </c:pt>
                <c:pt idx="52">
                  <c:v>7918330</c:v>
                </c:pt>
                <c:pt idx="53">
                  <c:v>8042814</c:v>
                </c:pt>
                <c:pt idx="54">
                  <c:v>7559416</c:v>
                </c:pt>
                <c:pt idx="55">
                  <c:v>7640817</c:v>
                </c:pt>
                <c:pt idx="56">
                  <c:v>7926214</c:v>
                </c:pt>
                <c:pt idx="57">
                  <c:v>7743017</c:v>
                </c:pt>
                <c:pt idx="58">
                  <c:v>8480707</c:v>
                </c:pt>
                <c:pt idx="59">
                  <c:v>8515351</c:v>
                </c:pt>
                <c:pt idx="60">
                  <c:v>8774763</c:v>
                </c:pt>
                <c:pt idx="61">
                  <c:v>9166556</c:v>
                </c:pt>
                <c:pt idx="62">
                  <c:v>9090612</c:v>
                </c:pt>
                <c:pt idx="63">
                  <c:v>9460373</c:v>
                </c:pt>
                <c:pt idx="64">
                  <c:v>9446854</c:v>
                </c:pt>
                <c:pt idx="65">
                  <c:v>9827752</c:v>
                </c:pt>
                <c:pt idx="66">
                  <c:v>10023004</c:v>
                </c:pt>
                <c:pt idx="67">
                  <c:v>10320329</c:v>
                </c:pt>
                <c:pt idx="68">
                  <c:v>10470264</c:v>
                </c:pt>
                <c:pt idx="69">
                  <c:v>10356639</c:v>
                </c:pt>
                <c:pt idx="70">
                  <c:v>11893144</c:v>
                </c:pt>
                <c:pt idx="71">
                  <c:v>12052052</c:v>
                </c:pt>
                <c:pt idx="72">
                  <c:v>12461969</c:v>
                </c:pt>
                <c:pt idx="73">
                  <c:v>12937477</c:v>
                </c:pt>
                <c:pt idx="74">
                  <c:v>14055117</c:v>
                </c:pt>
                <c:pt idx="75">
                  <c:v>13992979</c:v>
                </c:pt>
                <c:pt idx="76">
                  <c:v>13347227</c:v>
                </c:pt>
                <c:pt idx="77">
                  <c:v>12870793</c:v>
                </c:pt>
                <c:pt idx="78">
                  <c:v>13734352</c:v>
                </c:pt>
                <c:pt idx="79">
                  <c:v>13540804</c:v>
                </c:pt>
                <c:pt idx="80">
                  <c:v>13554637</c:v>
                </c:pt>
                <c:pt idx="81">
                  <c:v>13590936</c:v>
                </c:pt>
                <c:pt idx="82">
                  <c:v>14068315</c:v>
                </c:pt>
                <c:pt idx="83">
                  <c:v>14715108</c:v>
                </c:pt>
                <c:pt idx="84">
                  <c:v>14018070</c:v>
                </c:pt>
                <c:pt idx="85">
                  <c:v>14203312</c:v>
                </c:pt>
                <c:pt idx="86">
                  <c:v>15987392.32</c:v>
                </c:pt>
                <c:pt idx="87">
                  <c:v>17880107.579999998</c:v>
                </c:pt>
                <c:pt idx="88">
                  <c:v>18394381.380000003</c:v>
                </c:pt>
                <c:pt idx="89">
                  <c:v>18555425</c:v>
                </c:pt>
                <c:pt idx="90">
                  <c:v>18625083.009999998</c:v>
                </c:pt>
                <c:pt idx="91">
                  <c:v>18633985.600000005</c:v>
                </c:pt>
              </c:numCache>
            </c:numRef>
          </c:val>
          <c:extLst>
            <c:ext xmlns:c16="http://schemas.microsoft.com/office/drawing/2014/chart" uri="{C3380CC4-5D6E-409C-BE32-E72D297353CC}">
              <c16:uniqueId val="{00000000-308C-4F8F-899C-AD5D9B2C62CC}"/>
            </c:ext>
          </c:extLst>
        </c:ser>
        <c:dLbls>
          <c:showLegendKey val="0"/>
          <c:showVal val="0"/>
          <c:showCatName val="0"/>
          <c:showSerName val="0"/>
          <c:showPercent val="0"/>
          <c:showBubbleSize val="0"/>
        </c:dLbls>
        <c:axId val="57450496"/>
        <c:axId val="57453568"/>
      </c:areaChart>
      <c:lineChart>
        <c:grouping val="standard"/>
        <c:varyColors val="0"/>
        <c:ser>
          <c:idx val="1"/>
          <c:order val="1"/>
          <c:tx>
            <c:strRef>
              <c:f>'Beer Tax'!$F$3</c:f>
              <c:strCache>
                <c:ptCount val="1"/>
                <c:pt idx="0">
                  <c:v>Real Tax Collections</c:v>
                </c:pt>
              </c:strCache>
            </c:strRef>
          </c:tx>
          <c:spPr>
            <a:ln w="12700">
              <a:solidFill>
                <a:srgbClr val="C00000"/>
              </a:solidFill>
              <a:prstDash val="solid"/>
            </a:ln>
          </c:spPr>
          <c:marker>
            <c:symbol val="square"/>
            <c:size val="5"/>
            <c:spPr>
              <a:solidFill>
                <a:srgbClr val="FFFFFF"/>
              </a:solidFill>
              <a:ln>
                <a:solidFill>
                  <a:srgbClr val="FF0000"/>
                </a:solidFill>
                <a:prstDash val="solid"/>
              </a:ln>
            </c:spPr>
          </c:marker>
          <c:cat>
            <c:numRef>
              <c:f>'Beer Tax'!$A$4:$A$95</c:f>
              <c:numCache>
                <c:formatCode>General</c:formatCode>
                <c:ptCount val="92"/>
                <c:pt idx="0">
                  <c:v>1934</c:v>
                </c:pt>
                <c:pt idx="1">
                  <c:v>1935</c:v>
                </c:pt>
                <c:pt idx="2">
                  <c:v>1936</c:v>
                </c:pt>
                <c:pt idx="3">
                  <c:v>1937</c:v>
                </c:pt>
                <c:pt idx="4">
                  <c:v>1938</c:v>
                </c:pt>
                <c:pt idx="5">
                  <c:v>1939</c:v>
                </c:pt>
                <c:pt idx="6">
                  <c:v>1940</c:v>
                </c:pt>
                <c:pt idx="7">
                  <c:v>1941</c:v>
                </c:pt>
                <c:pt idx="8">
                  <c:v>1942</c:v>
                </c:pt>
                <c:pt idx="9">
                  <c:v>1943</c:v>
                </c:pt>
                <c:pt idx="10">
                  <c:v>1944</c:v>
                </c:pt>
                <c:pt idx="11">
                  <c:v>1945</c:v>
                </c:pt>
                <c:pt idx="12">
                  <c:v>1946</c:v>
                </c:pt>
                <c:pt idx="13">
                  <c:v>1947</c:v>
                </c:pt>
                <c:pt idx="14">
                  <c:v>1948</c:v>
                </c:pt>
                <c:pt idx="15">
                  <c:v>1949</c:v>
                </c:pt>
                <c:pt idx="16">
                  <c:v>1950</c:v>
                </c:pt>
                <c:pt idx="17">
                  <c:v>1951</c:v>
                </c:pt>
                <c:pt idx="18">
                  <c:v>1952</c:v>
                </c:pt>
                <c:pt idx="19">
                  <c:v>1953</c:v>
                </c:pt>
                <c:pt idx="20">
                  <c:v>1954</c:v>
                </c:pt>
                <c:pt idx="21">
                  <c:v>1955</c:v>
                </c:pt>
                <c:pt idx="22">
                  <c:v>1956</c:v>
                </c:pt>
                <c:pt idx="23">
                  <c:v>1957</c:v>
                </c:pt>
                <c:pt idx="24">
                  <c:v>1958</c:v>
                </c:pt>
                <c:pt idx="25">
                  <c:v>1959</c:v>
                </c:pt>
                <c:pt idx="26">
                  <c:v>1960</c:v>
                </c:pt>
                <c:pt idx="27">
                  <c:v>1961</c:v>
                </c:pt>
                <c:pt idx="28">
                  <c:v>1962</c:v>
                </c:pt>
                <c:pt idx="29">
                  <c:v>1963</c:v>
                </c:pt>
                <c:pt idx="30">
                  <c:v>1964</c:v>
                </c:pt>
                <c:pt idx="31">
                  <c:v>1965</c:v>
                </c:pt>
                <c:pt idx="32">
                  <c:v>1966</c:v>
                </c:pt>
                <c:pt idx="33">
                  <c:v>1967</c:v>
                </c:pt>
                <c:pt idx="34">
                  <c:v>1968</c:v>
                </c:pt>
                <c:pt idx="35">
                  <c:v>1969</c:v>
                </c:pt>
                <c:pt idx="36">
                  <c:v>1970</c:v>
                </c:pt>
                <c:pt idx="37">
                  <c:v>1971</c:v>
                </c:pt>
                <c:pt idx="38">
                  <c:v>1972</c:v>
                </c:pt>
                <c:pt idx="39">
                  <c:v>1973</c:v>
                </c:pt>
                <c:pt idx="40">
                  <c:v>1974</c:v>
                </c:pt>
                <c:pt idx="41">
                  <c:v>1975</c:v>
                </c:pt>
                <c:pt idx="42">
                  <c:v>1976</c:v>
                </c:pt>
                <c:pt idx="43">
                  <c:v>1977</c:v>
                </c:pt>
                <c:pt idx="44">
                  <c:v>1978</c:v>
                </c:pt>
                <c:pt idx="45">
                  <c:v>1979</c:v>
                </c:pt>
                <c:pt idx="46">
                  <c:v>1980</c:v>
                </c:pt>
                <c:pt idx="47">
                  <c:v>1981</c:v>
                </c:pt>
                <c:pt idx="48">
                  <c:v>1982</c:v>
                </c:pt>
                <c:pt idx="49">
                  <c:v>1983</c:v>
                </c:pt>
                <c:pt idx="50">
                  <c:v>1984</c:v>
                </c:pt>
                <c:pt idx="51">
                  <c:v>1985</c:v>
                </c:pt>
                <c:pt idx="52">
                  <c:v>1986</c:v>
                </c:pt>
                <c:pt idx="53">
                  <c:v>1987</c:v>
                </c:pt>
                <c:pt idx="54">
                  <c:v>1988</c:v>
                </c:pt>
                <c:pt idx="55">
                  <c:v>1989</c:v>
                </c:pt>
                <c:pt idx="56">
                  <c:v>1990</c:v>
                </c:pt>
                <c:pt idx="57">
                  <c:v>1991</c:v>
                </c:pt>
                <c:pt idx="58">
                  <c:v>1992</c:v>
                </c:pt>
                <c:pt idx="59">
                  <c:v>1993</c:v>
                </c:pt>
                <c:pt idx="60">
                  <c:v>1994</c:v>
                </c:pt>
                <c:pt idx="61">
                  <c:v>1995</c:v>
                </c:pt>
                <c:pt idx="62">
                  <c:v>1996</c:v>
                </c:pt>
                <c:pt idx="63">
                  <c:v>1997</c:v>
                </c:pt>
                <c:pt idx="64">
                  <c:v>1998</c:v>
                </c:pt>
                <c:pt idx="65">
                  <c:v>1999</c:v>
                </c:pt>
                <c:pt idx="66">
                  <c:v>2000</c:v>
                </c:pt>
                <c:pt idx="67">
                  <c:v>2001</c:v>
                </c:pt>
                <c:pt idx="68">
                  <c:v>2002</c:v>
                </c:pt>
                <c:pt idx="69">
                  <c:v>2003</c:v>
                </c:pt>
                <c:pt idx="70">
                  <c:v>2004</c:v>
                </c:pt>
                <c:pt idx="71">
                  <c:v>2005</c:v>
                </c:pt>
                <c:pt idx="72">
                  <c:v>2006</c:v>
                </c:pt>
                <c:pt idx="73">
                  <c:v>2007</c:v>
                </c:pt>
                <c:pt idx="74">
                  <c:v>2008</c:v>
                </c:pt>
                <c:pt idx="75">
                  <c:v>2009</c:v>
                </c:pt>
                <c:pt idx="76">
                  <c:v>2010</c:v>
                </c:pt>
                <c:pt idx="77">
                  <c:v>2011</c:v>
                </c:pt>
                <c:pt idx="78">
                  <c:v>2012</c:v>
                </c:pt>
                <c:pt idx="79">
                  <c:v>2013</c:v>
                </c:pt>
                <c:pt idx="80">
                  <c:v>2014</c:v>
                </c:pt>
                <c:pt idx="81">
                  <c:v>2015</c:v>
                </c:pt>
                <c:pt idx="82">
                  <c:v>2016</c:v>
                </c:pt>
                <c:pt idx="83">
                  <c:v>2017</c:v>
                </c:pt>
                <c:pt idx="84">
                  <c:v>2018</c:v>
                </c:pt>
                <c:pt idx="85">
                  <c:v>2019</c:v>
                </c:pt>
                <c:pt idx="86">
                  <c:v>2020</c:v>
                </c:pt>
                <c:pt idx="87">
                  <c:v>2021</c:v>
                </c:pt>
                <c:pt idx="88">
                  <c:v>2022</c:v>
                </c:pt>
                <c:pt idx="89">
                  <c:v>2023</c:v>
                </c:pt>
                <c:pt idx="90">
                  <c:v>2024</c:v>
                </c:pt>
                <c:pt idx="91">
                  <c:v>2025</c:v>
                </c:pt>
              </c:numCache>
            </c:numRef>
          </c:cat>
          <c:val>
            <c:numRef>
              <c:f>'Beer Tax'!$F$4:$F$95</c:f>
              <c:numCache>
                <c:formatCode>#,##0_);[Red]\(#,##0\)</c:formatCode>
                <c:ptCount val="92"/>
                <c:pt idx="0">
                  <c:v>657384.61538461538</c:v>
                </c:pt>
                <c:pt idx="1">
                  <c:v>1330753.7313432836</c:v>
                </c:pt>
                <c:pt idx="2">
                  <c:v>766416.0583941607</c:v>
                </c:pt>
                <c:pt idx="3">
                  <c:v>816827.33812949632</c:v>
                </c:pt>
                <c:pt idx="4">
                  <c:v>833749.99999999988</c:v>
                </c:pt>
                <c:pt idx="5">
                  <c:v>799276.59574468096</c:v>
                </c:pt>
                <c:pt idx="6">
                  <c:v>840302.15827338118</c:v>
                </c:pt>
                <c:pt idx="7">
                  <c:v>788314.28571428568</c:v>
                </c:pt>
                <c:pt idx="8">
                  <c:v>848748.29931972793</c:v>
                </c:pt>
                <c:pt idx="9">
                  <c:v>1219294.4785276074</c:v>
                </c:pt>
                <c:pt idx="10">
                  <c:v>1147618.4971098264</c:v>
                </c:pt>
                <c:pt idx="11">
                  <c:v>1256005.6818181816</c:v>
                </c:pt>
                <c:pt idx="12">
                  <c:v>1707411.1111111112</c:v>
                </c:pt>
                <c:pt idx="13">
                  <c:v>1574246.1538461538</c:v>
                </c:pt>
                <c:pt idx="14">
                  <c:v>1371434.9775784754</c:v>
                </c:pt>
                <c:pt idx="15">
                  <c:v>1162506.22406639</c:v>
                </c:pt>
                <c:pt idx="16">
                  <c:v>1167575.6302521008</c:v>
                </c:pt>
                <c:pt idx="17">
                  <c:v>1228477.1784232364</c:v>
                </c:pt>
                <c:pt idx="18">
                  <c:v>1035238.4615384615</c:v>
                </c:pt>
                <c:pt idx="19">
                  <c:v>811920.75471698109</c:v>
                </c:pt>
                <c:pt idx="20">
                  <c:v>819337.07865168538</c:v>
                </c:pt>
                <c:pt idx="21">
                  <c:v>847353.15985130123</c:v>
                </c:pt>
                <c:pt idx="22">
                  <c:v>965041.04477611929</c:v>
                </c:pt>
                <c:pt idx="23">
                  <c:v>869113.97058823518</c:v>
                </c:pt>
                <c:pt idx="24">
                  <c:v>909106.76156583626</c:v>
                </c:pt>
                <c:pt idx="25">
                  <c:v>831903.11418685131</c:v>
                </c:pt>
                <c:pt idx="26">
                  <c:v>869965.63573883148</c:v>
                </c:pt>
                <c:pt idx="27">
                  <c:v>882547.29729729716</c:v>
                </c:pt>
                <c:pt idx="28">
                  <c:v>953852.84280936455</c:v>
                </c:pt>
                <c:pt idx="29">
                  <c:v>947218.54304635769</c:v>
                </c:pt>
                <c:pt idx="30">
                  <c:v>1010794.1176470588</c:v>
                </c:pt>
                <c:pt idx="31">
                  <c:v>1022667.7419354839</c:v>
                </c:pt>
                <c:pt idx="32">
                  <c:v>959415.87301587302</c:v>
                </c:pt>
                <c:pt idx="33">
                  <c:v>1090370.3703703703</c:v>
                </c:pt>
                <c:pt idx="34">
                  <c:v>1024062.8742514971</c:v>
                </c:pt>
                <c:pt idx="35">
                  <c:v>1046712.643678161</c:v>
                </c:pt>
                <c:pt idx="36">
                  <c:v>1113286.1035422343</c:v>
                </c:pt>
                <c:pt idx="37">
                  <c:v>1115154.6391752579</c:v>
                </c:pt>
                <c:pt idx="38">
                  <c:v>2992350.6172839506</c:v>
                </c:pt>
                <c:pt idx="39">
                  <c:v>3382502.3923444976</c:v>
                </c:pt>
                <c:pt idx="40">
                  <c:v>3395538.2882882883</c:v>
                </c:pt>
                <c:pt idx="41">
                  <c:v>3306129.8174442193</c:v>
                </c:pt>
                <c:pt idx="42">
                  <c:v>3146507.4349442385</c:v>
                </c:pt>
                <c:pt idx="43">
                  <c:v>3347191.5641476279</c:v>
                </c:pt>
                <c:pt idx="44">
                  <c:v>3276267.3267326732</c:v>
                </c:pt>
                <c:pt idx="45">
                  <c:v>2934720.8588957055</c:v>
                </c:pt>
                <c:pt idx="46">
                  <c:v>2994570.2479338846</c:v>
                </c:pt>
                <c:pt idx="47">
                  <c:v>2702815.5339805824</c:v>
                </c:pt>
                <c:pt idx="48">
                  <c:v>3237603.9603960393</c:v>
                </c:pt>
                <c:pt idx="49">
                  <c:v>3056273.5751295337</c:v>
                </c:pt>
                <c:pt idx="50">
                  <c:v>7163078.3132530125</c:v>
                </c:pt>
                <c:pt idx="51">
                  <c:v>7824735.3224254083</c:v>
                </c:pt>
                <c:pt idx="52">
                  <c:v>7359042.7509293687</c:v>
                </c:pt>
                <c:pt idx="53">
                  <c:v>7338333.9416058399</c:v>
                </c:pt>
                <c:pt idx="54">
                  <c:v>6654415.4929577466</c:v>
                </c:pt>
                <c:pt idx="55">
                  <c:v>6458847.8444632292</c:v>
                </c:pt>
                <c:pt idx="56">
                  <c:v>6392108.064516129</c:v>
                </c:pt>
                <c:pt idx="57">
                  <c:v>5924267.023718439</c:v>
                </c:pt>
                <c:pt idx="58">
                  <c:v>6226657.1218795897</c:v>
                </c:pt>
                <c:pt idx="59">
                  <c:v>6069387.7405559514</c:v>
                </c:pt>
                <c:pt idx="60">
                  <c:v>6072500.3460207609</c:v>
                </c:pt>
                <c:pt idx="61">
                  <c:v>6185260.4588394063</c:v>
                </c:pt>
                <c:pt idx="62">
                  <c:v>5964968.5039370079</c:v>
                </c:pt>
                <c:pt idx="63">
                  <c:v>6029555.7680050991</c:v>
                </c:pt>
                <c:pt idx="64">
                  <c:v>5885890.3426791281</c:v>
                </c:pt>
                <c:pt idx="65">
                  <c:v>6029295.7055214727</c:v>
                </c:pt>
                <c:pt idx="66">
                  <c:v>6016208.8835534221</c:v>
                </c:pt>
                <c:pt idx="67">
                  <c:v>5993222.415795587</c:v>
                </c:pt>
                <c:pt idx="68">
                  <c:v>5912063.2411067197</c:v>
                </c:pt>
                <c:pt idx="69">
                  <c:v>5756886.6036687046</c:v>
                </c:pt>
                <c:pt idx="70">
                  <c:v>6463665.2173913037</c:v>
                </c:pt>
                <c:pt idx="71">
                  <c:v>6380122.816304923</c:v>
                </c:pt>
                <c:pt idx="72">
                  <c:v>6380936.5079365075</c:v>
                </c:pt>
                <c:pt idx="73">
                  <c:v>6417399.305555556</c:v>
                </c:pt>
                <c:pt idx="74">
                  <c:v>6778711.9831003845</c:v>
                </c:pt>
                <c:pt idx="75">
                  <c:v>6499202.9837020393</c:v>
                </c:pt>
                <c:pt idx="76">
                  <c:v>6221410.2928632349</c:v>
                </c:pt>
                <c:pt idx="77">
                  <c:v>5902517.2432769556</c:v>
                </c:pt>
                <c:pt idx="78">
                  <c:v>6105811.7978651989</c:v>
                </c:pt>
                <c:pt idx="79">
                  <c:v>5897716.8392902259</c:v>
                </c:pt>
                <c:pt idx="80">
                  <c:v>5818514.5756513011</c:v>
                </c:pt>
                <c:pt idx="81">
                  <c:v>5740967.1532846726</c:v>
                </c:pt>
                <c:pt idx="82">
                  <c:v>5935572.1319567794</c:v>
                </c:pt>
                <c:pt idx="83">
                  <c:v>6131103.4030186562</c:v>
                </c:pt>
                <c:pt idx="84">
                  <c:v>5718871.815583827</c:v>
                </c:pt>
                <c:pt idx="85">
                  <c:v>5656278.7974847369</c:v>
                </c:pt>
                <c:pt idx="86">
                  <c:v>6253441.5458181342</c:v>
                </c:pt>
                <c:pt idx="87">
                  <c:v>6908557.8201853847</c:v>
                </c:pt>
                <c:pt idx="88">
                  <c:v>6788358.6086256951</c:v>
                </c:pt>
                <c:pt idx="89">
                  <c:v>6340375.1857989784</c:v>
                </c:pt>
                <c:pt idx="90">
                  <c:v>6112556.8621144593</c:v>
                </c:pt>
                <c:pt idx="91">
                  <c:v>5940273.8381007966</c:v>
                </c:pt>
              </c:numCache>
            </c:numRef>
          </c:val>
          <c:smooth val="0"/>
          <c:extLst>
            <c:ext xmlns:c16="http://schemas.microsoft.com/office/drawing/2014/chart" uri="{C3380CC4-5D6E-409C-BE32-E72D297353CC}">
              <c16:uniqueId val="{00000001-308C-4F8F-899C-AD5D9B2C62CC}"/>
            </c:ext>
          </c:extLst>
        </c:ser>
        <c:dLbls>
          <c:showLegendKey val="0"/>
          <c:showVal val="0"/>
          <c:showCatName val="0"/>
          <c:showSerName val="0"/>
          <c:showPercent val="0"/>
          <c:showBubbleSize val="0"/>
        </c:dLbls>
        <c:marker val="1"/>
        <c:smooth val="0"/>
        <c:axId val="57450496"/>
        <c:axId val="57453568"/>
      </c:lineChart>
      <c:catAx>
        <c:axId val="57450496"/>
        <c:scaling>
          <c:orientation val="minMax"/>
        </c:scaling>
        <c:delete val="0"/>
        <c:axPos val="b"/>
        <c:title>
          <c:tx>
            <c:rich>
              <a:bodyPr rot="0" vert="horz" anchor="ctr" anchorCtr="1"/>
              <a:lstStyle/>
              <a:p>
                <a:pPr algn="ctr">
                  <a:defRPr sz="1200" b="1" i="0" u="none" strike="noStrike" baseline="0">
                    <a:solidFill>
                      <a:srgbClr val="000000"/>
                    </a:solidFill>
                    <a:latin typeface="Times New Roman"/>
                    <a:ea typeface="Times New Roman"/>
                    <a:cs typeface="Times New Roman"/>
                  </a:defRPr>
                </a:pPr>
                <a:r>
                  <a:rPr lang="en-US"/>
                  <a:t>Fiscal Year</a:t>
                </a:r>
              </a:p>
            </c:rich>
          </c:tx>
          <c:layout>
            <c:manualLayout>
              <c:xMode val="edge"/>
              <c:yMode val="edge"/>
              <c:x val="0.50326940323682112"/>
              <c:y val="0.92711440481703911"/>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Times New Roman"/>
                <a:ea typeface="Times New Roman"/>
                <a:cs typeface="Times New Roman"/>
              </a:defRPr>
            </a:pPr>
            <a:endParaRPr lang="en-US"/>
          </a:p>
        </c:txPr>
        <c:crossAx val="57453568"/>
        <c:crosses val="autoZero"/>
        <c:auto val="0"/>
        <c:lblAlgn val="ctr"/>
        <c:lblOffset val="100"/>
        <c:tickMarkSkip val="1"/>
        <c:noMultiLvlLbl val="0"/>
      </c:catAx>
      <c:valAx>
        <c:axId val="57453568"/>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Times New Roman"/>
                    <a:ea typeface="Times New Roman"/>
                    <a:cs typeface="Times New Roman"/>
                  </a:defRPr>
                </a:pPr>
                <a:r>
                  <a:rPr lang="en-US"/>
                  <a:t>Collections</a:t>
                </a:r>
              </a:p>
            </c:rich>
          </c:tx>
          <c:layout>
            <c:manualLayout>
              <c:xMode val="edge"/>
              <c:yMode val="edge"/>
              <c:x val="1.4314088481886473E-2"/>
              <c:y val="0.35621334663483806"/>
            </c:manualLayout>
          </c:layout>
          <c:overlay val="0"/>
          <c:spPr>
            <a:noFill/>
            <a:ln w="25400">
              <a:noFill/>
            </a:ln>
          </c:spPr>
        </c:title>
        <c:numFmt formatCode="\$#,##0_);\(\$#,##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en-US"/>
          </a:p>
        </c:txPr>
        <c:crossAx val="57450496"/>
        <c:crosses val="autoZero"/>
        <c:crossBetween val="midCat"/>
      </c:valAx>
      <c:spPr>
        <a:noFill/>
        <a:ln w="3175">
          <a:solidFill>
            <a:srgbClr val="000000"/>
          </a:solidFill>
          <a:prstDash val="solid"/>
        </a:ln>
      </c:spPr>
    </c:plotArea>
    <c:legend>
      <c:legendPos val="r"/>
      <c:layout>
        <c:manualLayout>
          <c:xMode val="edge"/>
          <c:yMode val="edge"/>
          <c:x val="0.21494109280754975"/>
          <c:y val="0.17896235763727469"/>
          <c:w val="0.55415101325501193"/>
          <c:h val="6.4664552677521636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oddHeader>&amp;A</c:oddHeader>
      <c:oddFooter>&amp;L&amp;"Times New Roman,Regular"&amp;8Real numbers are based on using the CPI of the previous year.
The CPI base period for real numbers: 1982 to 1984 = 100.&amp;R&amp;"Times New Roman,Regular"&amp;8Economic and Statistical Unit
Utah State Tax Commission</c:oddFooter>
    </c:headerFooter>
    <c:pageMargins b="1" l="0.75000000000000733" r="0.75000000000000733" t="1" header="0.5" footer="0.5"/>
    <c:pageSetup orientation="landscape"/>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6" Type="http://schemas.openxmlformats.org/officeDocument/2006/relationships/chart" Target="../charts/chart21.xml"/><Relationship Id="rId5" Type="http://schemas.openxmlformats.org/officeDocument/2006/relationships/chart" Target="../charts/chart20.xml"/><Relationship Id="rId4" Type="http://schemas.openxmlformats.org/officeDocument/2006/relationships/chart" Target="../charts/chart19.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4" Type="http://schemas.openxmlformats.org/officeDocument/2006/relationships/chart" Target="../charts/chart1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absoluteAnchor>
    <xdr:pos x="612322" y="163285"/>
    <xdr:ext cx="6043972" cy="4061333"/>
    <xdr:graphicFrame macro="">
      <xdr:nvGraphicFramePr>
        <xdr:cNvPr id="12" name="Chart 11">
          <a:extLst>
            <a:ext uri="{FF2B5EF4-FFF2-40B4-BE49-F238E27FC236}">
              <a16:creationId xmlns:a16="http://schemas.microsoft.com/office/drawing/2014/main" id="{00000000-0008-0000-0200-00000C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7261413" y="156882"/>
    <xdr:ext cx="6073588" cy="4094949"/>
    <xdr:graphicFrame macro="">
      <xdr:nvGraphicFramePr>
        <xdr:cNvPr id="29" name="Chart 28">
          <a:extLst>
            <a:ext uri="{FF2B5EF4-FFF2-40B4-BE49-F238E27FC236}">
              <a16:creationId xmlns:a16="http://schemas.microsoft.com/office/drawing/2014/main" id="{00000000-0008-0000-0200-00001D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7261412" y="4392706"/>
    <xdr:ext cx="6062382" cy="4090147"/>
    <xdr:graphicFrame macro="">
      <xdr:nvGraphicFramePr>
        <xdr:cNvPr id="30" name="Chart 29">
          <a:extLst>
            <a:ext uri="{FF2B5EF4-FFF2-40B4-BE49-F238E27FC236}">
              <a16:creationId xmlns:a16="http://schemas.microsoft.com/office/drawing/2014/main" id="{00000000-0008-0000-0200-00001E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absoluteAnchor>
    <xdr:pos x="605118" y="4392706"/>
    <xdr:ext cx="6032767" cy="4067735"/>
    <xdr:graphicFrame macro="">
      <xdr:nvGraphicFramePr>
        <xdr:cNvPr id="32" name="Chart 31">
          <a:extLst>
            <a:ext uri="{FF2B5EF4-FFF2-40B4-BE49-F238E27FC236}">
              <a16:creationId xmlns:a16="http://schemas.microsoft.com/office/drawing/2014/main" id="{00000000-0008-0000-0200-000020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absoluteAnchor>
  <xdr:absoluteAnchor>
    <xdr:pos x="605118" y="8628529"/>
    <xdr:ext cx="6039970" cy="4067734"/>
    <xdr:graphicFrame macro="">
      <xdr:nvGraphicFramePr>
        <xdr:cNvPr id="33" name="Chart 32">
          <a:extLst>
            <a:ext uri="{FF2B5EF4-FFF2-40B4-BE49-F238E27FC236}">
              <a16:creationId xmlns:a16="http://schemas.microsoft.com/office/drawing/2014/main" id="{00000000-0008-0000-0200-000021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absoluteAnchor>
  <xdr:absoluteAnchor>
    <xdr:pos x="13917706" y="156883"/>
    <xdr:ext cx="6051176" cy="4078942"/>
    <xdr:graphicFrame macro="">
      <xdr:nvGraphicFramePr>
        <xdr:cNvPr id="34" name="Chart 33">
          <a:extLst>
            <a:ext uri="{FF2B5EF4-FFF2-40B4-BE49-F238E27FC236}">
              <a16:creationId xmlns:a16="http://schemas.microsoft.com/office/drawing/2014/main" id="{00000000-0008-0000-0200-00002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absoluteAnchor>
  <xdr:absoluteAnchor>
    <xdr:pos x="13928912" y="4403912"/>
    <xdr:ext cx="6028765" cy="4090147"/>
    <xdr:graphicFrame macro="">
      <xdr:nvGraphicFramePr>
        <xdr:cNvPr id="36" name="Chart 35">
          <a:extLst>
            <a:ext uri="{FF2B5EF4-FFF2-40B4-BE49-F238E27FC236}">
              <a16:creationId xmlns:a16="http://schemas.microsoft.com/office/drawing/2014/main" id="{00000000-0008-0000-0200-000024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absolute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0</xdr:colOff>
      <xdr:row>27</xdr:row>
      <xdr:rowOff>11205</xdr:rowOff>
    </xdr:to>
    <xdr:graphicFrame macro="">
      <xdr:nvGraphicFramePr>
        <xdr:cNvPr id="4934671" name="Chart 6">
          <a:extLst>
            <a:ext uri="{FF2B5EF4-FFF2-40B4-BE49-F238E27FC236}">
              <a16:creationId xmlns:a16="http://schemas.microsoft.com/office/drawing/2014/main" id="{00000000-0008-0000-0A00-00000F4C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11206</xdr:colOff>
      <xdr:row>1</xdr:row>
      <xdr:rowOff>0</xdr:rowOff>
    </xdr:from>
    <xdr:to>
      <xdr:col>22</xdr:col>
      <xdr:colOff>0</xdr:colOff>
      <xdr:row>26</xdr:row>
      <xdr:rowOff>145677</xdr:rowOff>
    </xdr:to>
    <xdr:graphicFrame macro="">
      <xdr:nvGraphicFramePr>
        <xdr:cNvPr id="4934672" name="Chart 12">
          <a:extLst>
            <a:ext uri="{FF2B5EF4-FFF2-40B4-BE49-F238E27FC236}">
              <a16:creationId xmlns:a16="http://schemas.microsoft.com/office/drawing/2014/main" id="{00000000-0008-0000-0A00-0000104C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29</xdr:row>
      <xdr:rowOff>0</xdr:rowOff>
    </xdr:from>
    <xdr:to>
      <xdr:col>11</xdr:col>
      <xdr:colOff>0</xdr:colOff>
      <xdr:row>55</xdr:row>
      <xdr:rowOff>11206</xdr:rowOff>
    </xdr:to>
    <xdr:graphicFrame macro="">
      <xdr:nvGraphicFramePr>
        <xdr:cNvPr id="4934673" name="Chart 9">
          <a:extLst>
            <a:ext uri="{FF2B5EF4-FFF2-40B4-BE49-F238E27FC236}">
              <a16:creationId xmlns:a16="http://schemas.microsoft.com/office/drawing/2014/main" id="{00000000-0008-0000-0A00-0000114C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1</xdr:colOff>
      <xdr:row>28</xdr:row>
      <xdr:rowOff>156881</xdr:rowOff>
    </xdr:from>
    <xdr:to>
      <xdr:col>21</xdr:col>
      <xdr:colOff>582705</xdr:colOff>
      <xdr:row>54</xdr:row>
      <xdr:rowOff>145677</xdr:rowOff>
    </xdr:to>
    <xdr:graphicFrame macro="">
      <xdr:nvGraphicFramePr>
        <xdr:cNvPr id="4934674" name="Chart 11">
          <a:extLst>
            <a:ext uri="{FF2B5EF4-FFF2-40B4-BE49-F238E27FC236}">
              <a16:creationId xmlns:a16="http://schemas.microsoft.com/office/drawing/2014/main" id="{00000000-0008-0000-0A00-0000124C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23</xdr:col>
      <xdr:colOff>11206</xdr:colOff>
      <xdr:row>1</xdr:row>
      <xdr:rowOff>0</xdr:rowOff>
    </xdr:from>
    <xdr:to>
      <xdr:col>33</xdr:col>
      <xdr:colOff>11206</xdr:colOff>
      <xdr:row>27</xdr:row>
      <xdr:rowOff>-1</xdr:rowOff>
    </xdr:to>
    <xdr:graphicFrame macro="">
      <xdr:nvGraphicFramePr>
        <xdr:cNvPr id="4934675" name="Chart 3">
          <a:extLst>
            <a:ext uri="{FF2B5EF4-FFF2-40B4-BE49-F238E27FC236}">
              <a16:creationId xmlns:a16="http://schemas.microsoft.com/office/drawing/2014/main" id="{00000000-0008-0000-0A00-0000134C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23</xdr:col>
      <xdr:colOff>0</xdr:colOff>
      <xdr:row>29</xdr:row>
      <xdr:rowOff>0</xdr:rowOff>
    </xdr:from>
    <xdr:to>
      <xdr:col>32</xdr:col>
      <xdr:colOff>582704</xdr:colOff>
      <xdr:row>54</xdr:row>
      <xdr:rowOff>145678</xdr:rowOff>
    </xdr:to>
    <xdr:graphicFrame macro="">
      <xdr:nvGraphicFramePr>
        <xdr:cNvPr id="8" name="Chart 11">
          <a:extLst>
            <a:ext uri="{FF2B5EF4-FFF2-40B4-BE49-F238E27FC236}">
              <a16:creationId xmlns:a16="http://schemas.microsoft.com/office/drawing/2014/main" id="{00000000-0008-0000-0A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0.45729</cdr:x>
      <cdr:y>0.49927</cdr:y>
    </cdr:from>
    <cdr:to>
      <cdr:x>0.48148</cdr:x>
      <cdr:y>0.53964</cdr:y>
    </cdr:to>
    <cdr:sp macro="" textlink="">
      <cdr:nvSpPr>
        <cdr:cNvPr id="912385" name="Text Box 1"/>
        <cdr:cNvSpPr txBox="1">
          <a:spLocks xmlns:a="http://schemas.openxmlformats.org/drawingml/2006/main" noChangeArrowheads="1"/>
        </cdr:cNvSpPr>
      </cdr:nvSpPr>
      <cdr:spPr bwMode="auto">
        <a:xfrm xmlns:a="http://schemas.openxmlformats.org/drawingml/2006/main">
          <a:off x="3505132" y="2233509"/>
          <a:ext cx="185290" cy="18034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0.45729</cdr:x>
      <cdr:y>0.49927</cdr:y>
    </cdr:from>
    <cdr:to>
      <cdr:x>0.48148</cdr:x>
      <cdr:y>0.53964</cdr:y>
    </cdr:to>
    <cdr:sp macro="" textlink="">
      <cdr:nvSpPr>
        <cdr:cNvPr id="2" name="Text Box 1"/>
        <cdr:cNvSpPr txBox="1">
          <a:spLocks xmlns:a="http://schemas.openxmlformats.org/drawingml/2006/main" noChangeArrowheads="1"/>
        </cdr:cNvSpPr>
      </cdr:nvSpPr>
      <cdr:spPr bwMode="auto">
        <a:xfrm xmlns:a="http://schemas.openxmlformats.org/drawingml/2006/main">
          <a:off x="3505132" y="2233509"/>
          <a:ext cx="185290" cy="18034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userShapes>
</file>

<file path=xl/drawings/drawing12.xml><?xml version="1.0" encoding="utf-8"?>
<c:userShapes xmlns:c="http://schemas.openxmlformats.org/drawingml/2006/chart">
  <cdr:relSizeAnchor xmlns:cdr="http://schemas.openxmlformats.org/drawingml/2006/chartDrawing">
    <cdr:from>
      <cdr:x>0.45729</cdr:x>
      <cdr:y>0.49927</cdr:y>
    </cdr:from>
    <cdr:to>
      <cdr:x>0.48148</cdr:x>
      <cdr:y>0.53964</cdr:y>
    </cdr:to>
    <cdr:sp macro="" textlink="">
      <cdr:nvSpPr>
        <cdr:cNvPr id="912385" name="Text Box 1"/>
        <cdr:cNvSpPr txBox="1">
          <a:spLocks xmlns:a="http://schemas.openxmlformats.org/drawingml/2006/main" noChangeArrowheads="1"/>
        </cdr:cNvSpPr>
      </cdr:nvSpPr>
      <cdr:spPr bwMode="auto">
        <a:xfrm xmlns:a="http://schemas.openxmlformats.org/drawingml/2006/main">
          <a:off x="3505132" y="2233509"/>
          <a:ext cx="185290" cy="18034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0.45729</cdr:x>
      <cdr:y>0.49927</cdr:y>
    </cdr:from>
    <cdr:to>
      <cdr:x>0.48148</cdr:x>
      <cdr:y>0.53964</cdr:y>
    </cdr:to>
    <cdr:sp macro="" textlink="">
      <cdr:nvSpPr>
        <cdr:cNvPr id="2" name="Text Box 1"/>
        <cdr:cNvSpPr txBox="1">
          <a:spLocks xmlns:a="http://schemas.openxmlformats.org/drawingml/2006/main" noChangeArrowheads="1"/>
        </cdr:cNvSpPr>
      </cdr:nvSpPr>
      <cdr:spPr bwMode="auto">
        <a:xfrm xmlns:a="http://schemas.openxmlformats.org/drawingml/2006/main">
          <a:off x="3505132" y="2233509"/>
          <a:ext cx="185290" cy="18034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userShapes>
</file>

<file path=xl/drawings/drawing13.xml><?xml version="1.0" encoding="utf-8"?>
<c:userShapes xmlns:c="http://schemas.openxmlformats.org/drawingml/2006/chart">
  <cdr:relSizeAnchor xmlns:cdr="http://schemas.openxmlformats.org/drawingml/2006/chartDrawing">
    <cdr:from>
      <cdr:x>0.45729</cdr:x>
      <cdr:y>0.49927</cdr:y>
    </cdr:from>
    <cdr:to>
      <cdr:x>0.48148</cdr:x>
      <cdr:y>0.53964</cdr:y>
    </cdr:to>
    <cdr:sp macro="" textlink="">
      <cdr:nvSpPr>
        <cdr:cNvPr id="912385" name="Text Box 1"/>
        <cdr:cNvSpPr txBox="1">
          <a:spLocks xmlns:a="http://schemas.openxmlformats.org/drawingml/2006/main" noChangeArrowheads="1"/>
        </cdr:cNvSpPr>
      </cdr:nvSpPr>
      <cdr:spPr bwMode="auto">
        <a:xfrm xmlns:a="http://schemas.openxmlformats.org/drawingml/2006/main">
          <a:off x="3505132" y="2233509"/>
          <a:ext cx="185290" cy="18034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0.45729</cdr:x>
      <cdr:y>0.49927</cdr:y>
    </cdr:from>
    <cdr:to>
      <cdr:x>0.48148</cdr:x>
      <cdr:y>0.53964</cdr:y>
    </cdr:to>
    <cdr:sp macro="" textlink="">
      <cdr:nvSpPr>
        <cdr:cNvPr id="2" name="Text Box 1"/>
        <cdr:cNvSpPr txBox="1">
          <a:spLocks xmlns:a="http://schemas.openxmlformats.org/drawingml/2006/main" noChangeArrowheads="1"/>
        </cdr:cNvSpPr>
      </cdr:nvSpPr>
      <cdr:spPr bwMode="auto">
        <a:xfrm xmlns:a="http://schemas.openxmlformats.org/drawingml/2006/main">
          <a:off x="3505132" y="2233509"/>
          <a:ext cx="185290" cy="18034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userShapes>
</file>

<file path=xl/drawings/drawing2.xml><?xml version="1.0" encoding="utf-8"?>
<c:userShapes xmlns:c="http://schemas.openxmlformats.org/drawingml/2006/chart">
  <cdr:relSizeAnchor xmlns:cdr="http://schemas.openxmlformats.org/drawingml/2006/chartDrawing">
    <cdr:from>
      <cdr:x>0.45729</cdr:x>
      <cdr:y>0.49927</cdr:y>
    </cdr:from>
    <cdr:to>
      <cdr:x>0.48148</cdr:x>
      <cdr:y>0.53964</cdr:y>
    </cdr:to>
    <cdr:sp macro="" textlink="">
      <cdr:nvSpPr>
        <cdr:cNvPr id="912385" name="Text Box 1"/>
        <cdr:cNvSpPr txBox="1">
          <a:spLocks xmlns:a="http://schemas.openxmlformats.org/drawingml/2006/main" noChangeArrowheads="1"/>
        </cdr:cNvSpPr>
      </cdr:nvSpPr>
      <cdr:spPr bwMode="auto">
        <a:xfrm xmlns:a="http://schemas.openxmlformats.org/drawingml/2006/main">
          <a:off x="3505132" y="2233509"/>
          <a:ext cx="185290" cy="18034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0.45729</cdr:x>
      <cdr:y>0.49927</cdr:y>
    </cdr:from>
    <cdr:to>
      <cdr:x>0.48148</cdr:x>
      <cdr:y>0.53964</cdr:y>
    </cdr:to>
    <cdr:sp macro="" textlink="">
      <cdr:nvSpPr>
        <cdr:cNvPr id="2" name="Text Box 1"/>
        <cdr:cNvSpPr txBox="1">
          <a:spLocks xmlns:a="http://schemas.openxmlformats.org/drawingml/2006/main" noChangeArrowheads="1"/>
        </cdr:cNvSpPr>
      </cdr:nvSpPr>
      <cdr:spPr bwMode="auto">
        <a:xfrm xmlns:a="http://schemas.openxmlformats.org/drawingml/2006/main">
          <a:off x="3505132" y="2233509"/>
          <a:ext cx="185290" cy="18034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userShapes>
</file>

<file path=xl/drawings/drawing3.xml><?xml version="1.0" encoding="utf-8"?>
<c:userShapes xmlns:c="http://schemas.openxmlformats.org/drawingml/2006/chart">
  <cdr:relSizeAnchor xmlns:cdr="http://schemas.openxmlformats.org/drawingml/2006/chartDrawing">
    <cdr:from>
      <cdr:x>0.45729</cdr:x>
      <cdr:y>0.49927</cdr:y>
    </cdr:from>
    <cdr:to>
      <cdr:x>0.48148</cdr:x>
      <cdr:y>0.53964</cdr:y>
    </cdr:to>
    <cdr:sp macro="" textlink="">
      <cdr:nvSpPr>
        <cdr:cNvPr id="912385" name="Text Box 1"/>
        <cdr:cNvSpPr txBox="1">
          <a:spLocks xmlns:a="http://schemas.openxmlformats.org/drawingml/2006/main" noChangeArrowheads="1"/>
        </cdr:cNvSpPr>
      </cdr:nvSpPr>
      <cdr:spPr bwMode="auto">
        <a:xfrm xmlns:a="http://schemas.openxmlformats.org/drawingml/2006/main">
          <a:off x="3505132" y="2233509"/>
          <a:ext cx="185290" cy="18034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0.45729</cdr:x>
      <cdr:y>0.49927</cdr:y>
    </cdr:from>
    <cdr:to>
      <cdr:x>0.48148</cdr:x>
      <cdr:y>0.53964</cdr:y>
    </cdr:to>
    <cdr:sp macro="" textlink="">
      <cdr:nvSpPr>
        <cdr:cNvPr id="2" name="Text Box 1"/>
        <cdr:cNvSpPr txBox="1">
          <a:spLocks xmlns:a="http://schemas.openxmlformats.org/drawingml/2006/main" noChangeArrowheads="1"/>
        </cdr:cNvSpPr>
      </cdr:nvSpPr>
      <cdr:spPr bwMode="auto">
        <a:xfrm xmlns:a="http://schemas.openxmlformats.org/drawingml/2006/main">
          <a:off x="3505132" y="2233509"/>
          <a:ext cx="185290" cy="18034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userShapes>
</file>

<file path=xl/drawings/drawing4.xml><?xml version="1.0" encoding="utf-8"?>
<xdr:wsDr xmlns:xdr="http://schemas.openxmlformats.org/drawingml/2006/spreadsheetDrawing" xmlns:a="http://schemas.openxmlformats.org/drawingml/2006/main">
  <xdr:absoluteAnchor>
    <xdr:pos x="609599" y="161925"/>
    <xdr:ext cx="6132443" cy="4200525"/>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612913" y="4472609"/>
    <xdr:ext cx="6132443" cy="4306956"/>
    <xdr:graphicFrame macro="">
      <xdr:nvGraphicFramePr>
        <xdr:cNvPr id="9" name="Chart 8">
          <a:extLst>
            <a:ext uri="{FF2B5EF4-FFF2-40B4-BE49-F238E27FC236}">
              <a16:creationId xmlns:a16="http://schemas.microsoft.com/office/drawing/2014/main" id="{00000000-0008-0000-0400-000009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7354956" y="4472608"/>
    <xdr:ext cx="6137413" cy="4315239"/>
    <xdr:graphicFrame macro="">
      <xdr:nvGraphicFramePr>
        <xdr:cNvPr id="10" name="Chart 9">
          <a:extLst>
            <a:ext uri="{FF2B5EF4-FFF2-40B4-BE49-F238E27FC236}">
              <a16:creationId xmlns:a16="http://schemas.microsoft.com/office/drawing/2014/main" id="{00000000-0008-0000-0400-00000A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absoluteAnchor>
    <xdr:pos x="7354957" y="165652"/>
    <xdr:ext cx="6120847" cy="4182718"/>
    <xdr:graphicFrame macro="">
      <xdr:nvGraphicFramePr>
        <xdr:cNvPr id="11" name="Chart 10">
          <a:extLst>
            <a:ext uri="{FF2B5EF4-FFF2-40B4-BE49-F238E27FC236}">
              <a16:creationId xmlns:a16="http://schemas.microsoft.com/office/drawing/2014/main" id="{00000000-0008-0000-0400-00000B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0.45729</cdr:x>
      <cdr:y>0.49927</cdr:y>
    </cdr:from>
    <cdr:to>
      <cdr:x>0.48148</cdr:x>
      <cdr:y>0.53964</cdr:y>
    </cdr:to>
    <cdr:sp macro="" textlink="">
      <cdr:nvSpPr>
        <cdr:cNvPr id="912385" name="Text Box 1"/>
        <cdr:cNvSpPr txBox="1">
          <a:spLocks xmlns:a="http://schemas.openxmlformats.org/drawingml/2006/main" noChangeArrowheads="1"/>
        </cdr:cNvSpPr>
      </cdr:nvSpPr>
      <cdr:spPr bwMode="auto">
        <a:xfrm xmlns:a="http://schemas.openxmlformats.org/drawingml/2006/main">
          <a:off x="3505132" y="2233509"/>
          <a:ext cx="185290" cy="18034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0.45729</cdr:x>
      <cdr:y>0.49927</cdr:y>
    </cdr:from>
    <cdr:to>
      <cdr:x>0.48148</cdr:x>
      <cdr:y>0.53964</cdr:y>
    </cdr:to>
    <cdr:sp macro="" textlink="">
      <cdr:nvSpPr>
        <cdr:cNvPr id="2" name="Text Box 1"/>
        <cdr:cNvSpPr txBox="1">
          <a:spLocks xmlns:a="http://schemas.openxmlformats.org/drawingml/2006/main" noChangeArrowheads="1"/>
        </cdr:cNvSpPr>
      </cdr:nvSpPr>
      <cdr:spPr bwMode="auto">
        <a:xfrm xmlns:a="http://schemas.openxmlformats.org/drawingml/2006/main">
          <a:off x="3505132" y="2233509"/>
          <a:ext cx="185290" cy="18034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absoluteAnchor>
    <xdr:pos x="609599" y="161925"/>
    <xdr:ext cx="6096001" cy="4219575"/>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609600" y="4533901"/>
    <xdr:ext cx="6096000" cy="4210050"/>
    <xdr:graphicFrame macro="">
      <xdr:nvGraphicFramePr>
        <xdr:cNvPr id="5" name="Chart 4">
          <a:extLst>
            <a:ext uri="{FF2B5EF4-FFF2-40B4-BE49-F238E27FC236}">
              <a16:creationId xmlns:a16="http://schemas.microsoft.com/office/drawing/2014/main" id="{00000000-0008-0000-0600-000005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0.45729</cdr:x>
      <cdr:y>0.49927</cdr:y>
    </cdr:from>
    <cdr:to>
      <cdr:x>0.48148</cdr:x>
      <cdr:y>0.53964</cdr:y>
    </cdr:to>
    <cdr:sp macro="" textlink="">
      <cdr:nvSpPr>
        <cdr:cNvPr id="912385" name="Text Box 1"/>
        <cdr:cNvSpPr txBox="1">
          <a:spLocks xmlns:a="http://schemas.openxmlformats.org/drawingml/2006/main" noChangeArrowheads="1"/>
        </cdr:cNvSpPr>
      </cdr:nvSpPr>
      <cdr:spPr bwMode="auto">
        <a:xfrm xmlns:a="http://schemas.openxmlformats.org/drawingml/2006/main">
          <a:off x="3505132" y="2233509"/>
          <a:ext cx="185290" cy="18034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0.45729</cdr:x>
      <cdr:y>0.49927</cdr:y>
    </cdr:from>
    <cdr:to>
      <cdr:x>0.48148</cdr:x>
      <cdr:y>0.53964</cdr:y>
    </cdr:to>
    <cdr:sp macro="" textlink="">
      <cdr:nvSpPr>
        <cdr:cNvPr id="2" name="Text Box 1"/>
        <cdr:cNvSpPr txBox="1">
          <a:spLocks xmlns:a="http://schemas.openxmlformats.org/drawingml/2006/main" noChangeArrowheads="1"/>
        </cdr:cNvSpPr>
      </cdr:nvSpPr>
      <cdr:spPr bwMode="auto">
        <a:xfrm xmlns:a="http://schemas.openxmlformats.org/drawingml/2006/main">
          <a:off x="3505132" y="2233509"/>
          <a:ext cx="185290" cy="18034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userShapes>
</file>

<file path=xl/drawings/drawing8.xml><?xml version="1.0" encoding="utf-8"?>
<xdr:wsDr xmlns:xdr="http://schemas.openxmlformats.org/drawingml/2006/spreadsheetDrawing" xmlns:a="http://schemas.openxmlformats.org/drawingml/2006/main">
  <xdr:absoluteAnchor>
    <xdr:pos x="609600" y="161925"/>
    <xdr:ext cx="6096000" cy="4210050"/>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609600" y="4533900"/>
    <xdr:ext cx="6096000" cy="4200525"/>
    <xdr:graphicFrame macro="">
      <xdr:nvGraphicFramePr>
        <xdr:cNvPr id="5" name="Chart 4">
          <a:extLst>
            <a:ext uri="{FF2B5EF4-FFF2-40B4-BE49-F238E27FC236}">
              <a16:creationId xmlns:a16="http://schemas.microsoft.com/office/drawing/2014/main" id="{00000000-0008-0000-0800-000005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0.45729</cdr:x>
      <cdr:y>0.49927</cdr:y>
    </cdr:from>
    <cdr:to>
      <cdr:x>0.48148</cdr:x>
      <cdr:y>0.53964</cdr:y>
    </cdr:to>
    <cdr:sp macro="" textlink="">
      <cdr:nvSpPr>
        <cdr:cNvPr id="912385" name="Text Box 1"/>
        <cdr:cNvSpPr txBox="1">
          <a:spLocks xmlns:a="http://schemas.openxmlformats.org/drawingml/2006/main" noChangeArrowheads="1"/>
        </cdr:cNvSpPr>
      </cdr:nvSpPr>
      <cdr:spPr bwMode="auto">
        <a:xfrm xmlns:a="http://schemas.openxmlformats.org/drawingml/2006/main">
          <a:off x="3505132" y="2233509"/>
          <a:ext cx="185290" cy="18034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0.45729</cdr:x>
      <cdr:y>0.49927</cdr:y>
    </cdr:from>
    <cdr:to>
      <cdr:x>0.48148</cdr:x>
      <cdr:y>0.53964</cdr:y>
    </cdr:to>
    <cdr:sp macro="" textlink="">
      <cdr:nvSpPr>
        <cdr:cNvPr id="2" name="Text Box 1"/>
        <cdr:cNvSpPr txBox="1">
          <a:spLocks xmlns:a="http://schemas.openxmlformats.org/drawingml/2006/main" noChangeArrowheads="1"/>
        </cdr:cNvSpPr>
      </cdr:nvSpPr>
      <cdr:spPr bwMode="auto">
        <a:xfrm xmlns:a="http://schemas.openxmlformats.org/drawingml/2006/main">
          <a:off x="3505132" y="2233509"/>
          <a:ext cx="185290" cy="18034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gardner.utah.edu/demographics/population-estimates/state-and-county/" TargetMode="External"/><Relationship Id="rId1" Type="http://schemas.openxmlformats.org/officeDocument/2006/relationships/hyperlink" Target="http://data.bls.gov/cgi-bin/surveymost?c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7"/>
  <sheetViews>
    <sheetView showGridLines="0" tabSelected="1" zoomScaleNormal="100" workbookViewId="0">
      <pane ySplit="4" topLeftCell="A77" activePane="bottomLeft" state="frozen"/>
      <selection pane="bottomLeft" sqref="A1:I1"/>
    </sheetView>
  </sheetViews>
  <sheetFormatPr defaultRowHeight="12.75"/>
  <cols>
    <col min="2" max="9" width="12.85546875" customWidth="1"/>
  </cols>
  <sheetData>
    <row r="1" spans="1:9" ht="18.75">
      <c r="A1" s="424" t="s">
        <v>125</v>
      </c>
      <c r="B1" s="425"/>
      <c r="C1" s="425"/>
      <c r="D1" s="425"/>
      <c r="E1" s="425"/>
      <c r="F1" s="425"/>
      <c r="G1" s="425"/>
      <c r="H1" s="425"/>
      <c r="I1" s="426"/>
    </row>
    <row r="2" spans="1:9" ht="13.5" thickBot="1"/>
    <row r="3" spans="1:9" ht="13.5" thickBot="1">
      <c r="B3" s="427" t="s">
        <v>23</v>
      </c>
      <c r="C3" s="428"/>
      <c r="D3" s="428"/>
      <c r="E3" s="428"/>
      <c r="F3" s="428"/>
      <c r="G3" s="428"/>
      <c r="H3" s="428"/>
      <c r="I3" s="429"/>
    </row>
    <row r="4" spans="1:9" ht="51.75" thickBot="1">
      <c r="A4" s="46" t="s">
        <v>32</v>
      </c>
      <c r="B4" s="181" t="s">
        <v>126</v>
      </c>
      <c r="C4" s="181" t="s">
        <v>127</v>
      </c>
      <c r="D4" s="181" t="s">
        <v>128</v>
      </c>
      <c r="E4" s="181" t="s">
        <v>129</v>
      </c>
      <c r="F4" s="181" t="s">
        <v>130</v>
      </c>
      <c r="G4" s="181" t="s">
        <v>131</v>
      </c>
      <c r="H4" s="306" t="s">
        <v>143</v>
      </c>
      <c r="I4" s="182" t="s">
        <v>132</v>
      </c>
    </row>
    <row r="5" spans="1:9">
      <c r="A5" s="69">
        <v>1923</v>
      </c>
      <c r="B5" s="70">
        <f>'Cigarette  and Tobacco Taxes'!D5</f>
        <v>69000</v>
      </c>
      <c r="C5" s="70"/>
      <c r="D5" s="70"/>
      <c r="E5" s="70"/>
      <c r="F5" s="70"/>
      <c r="G5" s="70"/>
      <c r="H5" s="70"/>
      <c r="I5" s="309">
        <f t="shared" ref="I5:I68" si="0">SUM(B5:H5)</f>
        <v>69000</v>
      </c>
    </row>
    <row r="6" spans="1:9">
      <c r="A6" s="55">
        <v>1924</v>
      </c>
      <c r="B6" s="56">
        <f>'Cigarette  and Tobacco Taxes'!D6</f>
        <v>106000</v>
      </c>
      <c r="C6" s="56"/>
      <c r="D6" s="56"/>
      <c r="E6" s="56"/>
      <c r="F6" s="56"/>
      <c r="G6" s="56"/>
      <c r="H6" s="56"/>
      <c r="I6" s="217">
        <f t="shared" si="0"/>
        <v>106000</v>
      </c>
    </row>
    <row r="7" spans="1:9">
      <c r="A7" s="58">
        <v>1925</v>
      </c>
      <c r="B7" s="59">
        <f>'Cigarette  and Tobacco Taxes'!D7</f>
        <v>61000</v>
      </c>
      <c r="C7" s="59"/>
      <c r="D7" s="59"/>
      <c r="E7" s="59"/>
      <c r="F7" s="59"/>
      <c r="G7" s="59"/>
      <c r="H7" s="59"/>
      <c r="I7" s="218">
        <f t="shared" si="0"/>
        <v>61000</v>
      </c>
    </row>
    <row r="8" spans="1:9">
      <c r="A8" s="55">
        <v>1926</v>
      </c>
      <c r="B8" s="56">
        <f>'Cigarette  and Tobacco Taxes'!D8</f>
        <v>129000</v>
      </c>
      <c r="C8" s="56"/>
      <c r="D8" s="56"/>
      <c r="E8" s="56"/>
      <c r="F8" s="56"/>
      <c r="G8" s="56"/>
      <c r="H8" s="56"/>
      <c r="I8" s="217">
        <f t="shared" si="0"/>
        <v>129000</v>
      </c>
    </row>
    <row r="9" spans="1:9">
      <c r="A9" s="55">
        <v>1927</v>
      </c>
      <c r="B9" s="206">
        <f>'Cigarette  and Tobacco Taxes'!D9</f>
        <v>128000</v>
      </c>
      <c r="C9" s="206"/>
      <c r="D9" s="206"/>
      <c r="E9" s="206"/>
      <c r="F9" s="206"/>
      <c r="G9" s="206"/>
      <c r="H9" s="56"/>
      <c r="I9" s="217">
        <f t="shared" si="0"/>
        <v>128000</v>
      </c>
    </row>
    <row r="10" spans="1:9">
      <c r="A10" s="55">
        <v>1928</v>
      </c>
      <c r="B10" s="206">
        <f>'Cigarette  and Tobacco Taxes'!D10</f>
        <v>136000</v>
      </c>
      <c r="C10" s="206"/>
      <c r="D10" s="206"/>
      <c r="E10" s="206"/>
      <c r="F10" s="206"/>
      <c r="G10" s="206"/>
      <c r="H10" s="56"/>
      <c r="I10" s="217">
        <f t="shared" si="0"/>
        <v>136000</v>
      </c>
    </row>
    <row r="11" spans="1:9">
      <c r="A11" s="55">
        <v>1929</v>
      </c>
      <c r="B11" s="206">
        <f>'Cigarette  and Tobacco Taxes'!D11</f>
        <v>143000</v>
      </c>
      <c r="C11" s="206"/>
      <c r="D11" s="206"/>
      <c r="E11" s="206"/>
      <c r="F11" s="206"/>
      <c r="G11" s="206"/>
      <c r="H11" s="56"/>
      <c r="I11" s="217">
        <f t="shared" si="0"/>
        <v>143000</v>
      </c>
    </row>
    <row r="12" spans="1:9">
      <c r="A12" s="58">
        <v>1930</v>
      </c>
      <c r="B12" s="207">
        <f>'Cigarette  and Tobacco Taxes'!D12</f>
        <v>193000</v>
      </c>
      <c r="C12" s="207"/>
      <c r="D12" s="207"/>
      <c r="E12" s="207"/>
      <c r="F12" s="207"/>
      <c r="G12" s="207"/>
      <c r="H12" s="59"/>
      <c r="I12" s="218">
        <f t="shared" si="0"/>
        <v>193000</v>
      </c>
    </row>
    <row r="13" spans="1:9">
      <c r="A13" s="55">
        <v>1931</v>
      </c>
      <c r="B13" s="206">
        <f>'Cigarette  and Tobacco Taxes'!D13</f>
        <v>197000</v>
      </c>
      <c r="C13" s="206"/>
      <c r="D13" s="206"/>
      <c r="E13" s="206"/>
      <c r="F13" s="206"/>
      <c r="G13" s="206"/>
      <c r="H13" s="56"/>
      <c r="I13" s="217">
        <f t="shared" si="0"/>
        <v>197000</v>
      </c>
    </row>
    <row r="14" spans="1:9">
      <c r="A14" s="55">
        <v>1932</v>
      </c>
      <c r="B14" s="206">
        <f>'Cigarette  and Tobacco Taxes'!D14</f>
        <v>150251</v>
      </c>
      <c r="C14" s="206"/>
      <c r="D14" s="206"/>
      <c r="E14" s="206"/>
      <c r="F14" s="206"/>
      <c r="G14" s="206"/>
      <c r="H14" s="56"/>
      <c r="I14" s="217">
        <f t="shared" si="0"/>
        <v>150251</v>
      </c>
    </row>
    <row r="15" spans="1:9">
      <c r="A15" s="55">
        <v>1933</v>
      </c>
      <c r="B15" s="206">
        <f>'Cigarette  and Tobacco Taxes'!D15</f>
        <v>120045</v>
      </c>
      <c r="C15" s="206"/>
      <c r="D15" s="206"/>
      <c r="E15" s="206">
        <f>'Insurance Premium Tax'!I5</f>
        <v>176128</v>
      </c>
      <c r="F15" s="206"/>
      <c r="G15" s="206"/>
      <c r="H15" s="56"/>
      <c r="I15" s="217">
        <f t="shared" si="0"/>
        <v>296173</v>
      </c>
    </row>
    <row r="16" spans="1:9">
      <c r="A16" s="55">
        <v>1934</v>
      </c>
      <c r="B16" s="206">
        <f>'Cigarette  and Tobacco Taxes'!D16</f>
        <v>189396</v>
      </c>
      <c r="C16" s="206"/>
      <c r="D16" s="206">
        <f>'Beer Tax'!E4</f>
        <v>85460</v>
      </c>
      <c r="E16" s="206">
        <f>'Insurance Premium Tax'!I6</f>
        <v>171757</v>
      </c>
      <c r="F16" s="206"/>
      <c r="G16" s="206"/>
      <c r="H16" s="56"/>
      <c r="I16" s="217">
        <f t="shared" si="0"/>
        <v>446613</v>
      </c>
    </row>
    <row r="17" spans="1:9">
      <c r="A17" s="58">
        <v>1935</v>
      </c>
      <c r="B17" s="207">
        <f>'Cigarette  and Tobacco Taxes'!D17</f>
        <v>243165</v>
      </c>
      <c r="C17" s="207"/>
      <c r="D17" s="207">
        <f>'Beer Tax'!E5</f>
        <v>178321</v>
      </c>
      <c r="E17" s="207">
        <f>'Insurance Premium Tax'!I7</f>
        <v>190221</v>
      </c>
      <c r="F17" s="207"/>
      <c r="G17" s="207"/>
      <c r="H17" s="59"/>
      <c r="I17" s="218">
        <f t="shared" si="0"/>
        <v>611707</v>
      </c>
    </row>
    <row r="18" spans="1:9">
      <c r="A18" s="55">
        <v>1936</v>
      </c>
      <c r="B18" s="206">
        <f>'Cigarette  and Tobacco Taxes'!D18</f>
        <v>284493</v>
      </c>
      <c r="C18" s="206"/>
      <c r="D18" s="206">
        <f>'Beer Tax'!E6</f>
        <v>104999</v>
      </c>
      <c r="E18" s="206">
        <f>'Insurance Premium Tax'!I8</f>
        <v>298091</v>
      </c>
      <c r="F18" s="206"/>
      <c r="G18" s="206"/>
      <c r="H18" s="56"/>
      <c r="I18" s="217">
        <f t="shared" si="0"/>
        <v>687583</v>
      </c>
    </row>
    <row r="19" spans="1:9">
      <c r="A19" s="55">
        <v>1937</v>
      </c>
      <c r="B19" s="206">
        <f>'Cigarette  and Tobacco Taxes'!D19</f>
        <v>326264</v>
      </c>
      <c r="C19" s="206"/>
      <c r="D19" s="206">
        <f>'Beer Tax'!E7</f>
        <v>113539</v>
      </c>
      <c r="E19" s="206">
        <f>'Insurance Premium Tax'!I9</f>
        <v>304279</v>
      </c>
      <c r="F19" s="206"/>
      <c r="G19" s="206"/>
      <c r="H19" s="56"/>
      <c r="I19" s="217">
        <f t="shared" si="0"/>
        <v>744082</v>
      </c>
    </row>
    <row r="20" spans="1:9">
      <c r="A20" s="55">
        <v>1938</v>
      </c>
      <c r="B20" s="206">
        <f>'Cigarette  and Tobacco Taxes'!D20</f>
        <v>348473</v>
      </c>
      <c r="C20" s="206"/>
      <c r="D20" s="206">
        <f>'Beer Tax'!E8</f>
        <v>120060</v>
      </c>
      <c r="E20" s="206">
        <f>'Insurance Premium Tax'!I10</f>
        <v>350018</v>
      </c>
      <c r="F20" s="206"/>
      <c r="G20" s="206">
        <f>'Mining, Oil &amp; Gas Severance'!B5</f>
        <v>532003</v>
      </c>
      <c r="H20" s="56"/>
      <c r="I20" s="217">
        <f t="shared" si="0"/>
        <v>1350554</v>
      </c>
    </row>
    <row r="21" spans="1:9">
      <c r="A21" s="55">
        <v>1939</v>
      </c>
      <c r="B21" s="206">
        <f>'Cigarette  and Tobacco Taxes'!D21</f>
        <v>348921</v>
      </c>
      <c r="C21" s="206"/>
      <c r="D21" s="206">
        <f>'Beer Tax'!E9</f>
        <v>112698</v>
      </c>
      <c r="E21" s="206">
        <f>'Insurance Premium Tax'!I11</f>
        <v>413921</v>
      </c>
      <c r="F21" s="206"/>
      <c r="G21" s="206">
        <f>'Mining, Oil &amp; Gas Severance'!B6</f>
        <v>327699</v>
      </c>
      <c r="H21" s="56"/>
      <c r="I21" s="217">
        <f t="shared" si="0"/>
        <v>1203239</v>
      </c>
    </row>
    <row r="22" spans="1:9">
      <c r="A22" s="58">
        <v>1940</v>
      </c>
      <c r="B22" s="207">
        <f>'Cigarette  and Tobacco Taxes'!D22</f>
        <v>380442</v>
      </c>
      <c r="C22" s="207"/>
      <c r="D22" s="207">
        <f>'Beer Tax'!E10</f>
        <v>116802</v>
      </c>
      <c r="E22" s="207">
        <f>'Insurance Premium Tax'!I12</f>
        <v>359210</v>
      </c>
      <c r="F22" s="207"/>
      <c r="G22" s="207">
        <f>'Mining, Oil &amp; Gas Severance'!B7</f>
        <v>483284</v>
      </c>
      <c r="H22" s="59"/>
      <c r="I22" s="218">
        <f t="shared" si="0"/>
        <v>1339738</v>
      </c>
    </row>
    <row r="23" spans="1:9">
      <c r="A23" s="55">
        <v>1941</v>
      </c>
      <c r="B23" s="206">
        <f>'Cigarette  and Tobacco Taxes'!D23</f>
        <v>369427</v>
      </c>
      <c r="C23" s="206"/>
      <c r="D23" s="206">
        <f>'Beer Tax'!E11</f>
        <v>110364</v>
      </c>
      <c r="E23" s="206">
        <f>'Insurance Premium Tax'!I13</f>
        <v>381172.70799999998</v>
      </c>
      <c r="F23" s="206"/>
      <c r="G23" s="206">
        <f>'Mining, Oil &amp; Gas Severance'!B8</f>
        <v>674650</v>
      </c>
      <c r="H23" s="56"/>
      <c r="I23" s="217">
        <f t="shared" si="0"/>
        <v>1535613.7080000001</v>
      </c>
    </row>
    <row r="24" spans="1:9">
      <c r="A24" s="55">
        <v>1942</v>
      </c>
      <c r="B24" s="206">
        <f>'Cigarette  and Tobacco Taxes'!D24</f>
        <v>438577</v>
      </c>
      <c r="C24" s="206"/>
      <c r="D24" s="206">
        <f>'Beer Tax'!E12</f>
        <v>124766</v>
      </c>
      <c r="E24" s="206">
        <f>'Insurance Premium Tax'!I14</f>
        <v>412318.03500000003</v>
      </c>
      <c r="F24" s="206"/>
      <c r="G24" s="206">
        <f>'Mining, Oil &amp; Gas Severance'!B9</f>
        <v>789162</v>
      </c>
      <c r="H24" s="56"/>
      <c r="I24" s="217">
        <f t="shared" si="0"/>
        <v>1764823.0350000001</v>
      </c>
    </row>
    <row r="25" spans="1:9">
      <c r="A25" s="55">
        <v>1943</v>
      </c>
      <c r="B25" s="206">
        <f>'Cigarette  and Tobacco Taxes'!D25</f>
        <v>634137</v>
      </c>
      <c r="C25" s="206"/>
      <c r="D25" s="206">
        <f>'Beer Tax'!E13</f>
        <v>198745</v>
      </c>
      <c r="E25" s="206">
        <f>'Insurance Premium Tax'!I15</f>
        <v>530295.4</v>
      </c>
      <c r="F25" s="206"/>
      <c r="G25" s="206">
        <f>'Mining, Oil &amp; Gas Severance'!B10</f>
        <v>791193</v>
      </c>
      <c r="H25" s="56"/>
      <c r="I25" s="217">
        <f t="shared" si="0"/>
        <v>2154370.4</v>
      </c>
    </row>
    <row r="26" spans="1:9">
      <c r="A26" s="55">
        <v>1944</v>
      </c>
      <c r="B26" s="206">
        <f>'Cigarette  and Tobacco Taxes'!D26</f>
        <v>646326</v>
      </c>
      <c r="C26" s="206"/>
      <c r="D26" s="206">
        <f>'Beer Tax'!E14</f>
        <v>198538</v>
      </c>
      <c r="E26" s="206">
        <f>'Insurance Premium Tax'!I16</f>
        <v>591420</v>
      </c>
      <c r="F26" s="206"/>
      <c r="G26" s="206">
        <f>'Mining, Oil &amp; Gas Severance'!B11</f>
        <v>926442</v>
      </c>
      <c r="H26" s="56"/>
      <c r="I26" s="217">
        <f t="shared" si="0"/>
        <v>2362726</v>
      </c>
    </row>
    <row r="27" spans="1:9">
      <c r="A27" s="58">
        <v>1945</v>
      </c>
      <c r="B27" s="207">
        <f>'Cigarette  and Tobacco Taxes'!D27</f>
        <v>553147</v>
      </c>
      <c r="C27" s="207"/>
      <c r="D27" s="207">
        <f>'Beer Tax'!E15</f>
        <v>221057</v>
      </c>
      <c r="E27" s="207">
        <f>'Insurance Premium Tax'!I17</f>
        <v>576240.56400000001</v>
      </c>
      <c r="F27" s="207"/>
      <c r="G27" s="207">
        <f>'Mining, Oil &amp; Gas Severance'!B12</f>
        <v>857085</v>
      </c>
      <c r="H27" s="59"/>
      <c r="I27" s="218">
        <f t="shared" si="0"/>
        <v>2207529.5640000002</v>
      </c>
    </row>
    <row r="28" spans="1:9">
      <c r="A28" s="55">
        <v>1946</v>
      </c>
      <c r="B28" s="206">
        <f>'Cigarette  and Tobacco Taxes'!D28</f>
        <v>757165</v>
      </c>
      <c r="C28" s="206"/>
      <c r="D28" s="206">
        <f>'Beer Tax'!E16</f>
        <v>307334</v>
      </c>
      <c r="E28" s="206">
        <f>'Insurance Premium Tax'!I18</f>
        <v>659065</v>
      </c>
      <c r="F28" s="206"/>
      <c r="G28" s="206">
        <f>'Mining, Oil &amp; Gas Severance'!B13</f>
        <v>656827</v>
      </c>
      <c r="H28" s="56"/>
      <c r="I28" s="217">
        <f t="shared" si="0"/>
        <v>2380391</v>
      </c>
    </row>
    <row r="29" spans="1:9">
      <c r="A29" s="55">
        <v>1947</v>
      </c>
      <c r="B29" s="206">
        <f>'Cigarette  and Tobacco Taxes'!D29</f>
        <v>826940</v>
      </c>
      <c r="C29" s="206"/>
      <c r="D29" s="206">
        <f>'Beer Tax'!E17</f>
        <v>306978</v>
      </c>
      <c r="E29" s="206">
        <f>'Insurance Premium Tax'!I19</f>
        <v>699774.90800000005</v>
      </c>
      <c r="F29" s="206"/>
      <c r="G29" s="206">
        <f>'Mining, Oil &amp; Gas Severance'!B14</f>
        <v>393226</v>
      </c>
      <c r="H29" s="56"/>
      <c r="I29" s="217">
        <f t="shared" si="0"/>
        <v>2226918.9079999998</v>
      </c>
    </row>
    <row r="30" spans="1:9">
      <c r="A30" s="55">
        <v>1948</v>
      </c>
      <c r="B30" s="206">
        <f>'Cigarette  and Tobacco Taxes'!D30</f>
        <v>888009</v>
      </c>
      <c r="C30" s="206"/>
      <c r="D30" s="206">
        <f>'Beer Tax'!E18</f>
        <v>305830</v>
      </c>
      <c r="E30" s="206">
        <f>'Insurance Premium Tax'!I20</f>
        <v>896186</v>
      </c>
      <c r="F30" s="206"/>
      <c r="G30" s="206">
        <f>'Mining, Oil &amp; Gas Severance'!B15</f>
        <v>1359141</v>
      </c>
      <c r="H30" s="56"/>
      <c r="I30" s="217">
        <f t="shared" si="0"/>
        <v>3449166</v>
      </c>
    </row>
    <row r="31" spans="1:9">
      <c r="A31" s="55">
        <v>1949</v>
      </c>
      <c r="B31" s="206">
        <f>'Cigarette  and Tobacco Taxes'!D31</f>
        <v>903123</v>
      </c>
      <c r="C31" s="206"/>
      <c r="D31" s="206">
        <f>'Beer Tax'!E19</f>
        <v>280164</v>
      </c>
      <c r="E31" s="206">
        <f>'Insurance Premium Tax'!I21</f>
        <v>886595.20400000003</v>
      </c>
      <c r="F31" s="206"/>
      <c r="G31" s="206">
        <f>'Mining, Oil &amp; Gas Severance'!B16</f>
        <v>1363820</v>
      </c>
      <c r="H31" s="56"/>
      <c r="I31" s="217">
        <f t="shared" si="0"/>
        <v>3433702.2039999999</v>
      </c>
    </row>
    <row r="32" spans="1:9">
      <c r="A32" s="58">
        <v>1950</v>
      </c>
      <c r="B32" s="207">
        <f>'Cigarette  and Tobacco Taxes'!D32</f>
        <v>905489</v>
      </c>
      <c r="C32" s="207"/>
      <c r="D32" s="207">
        <f>'Beer Tax'!E20</f>
        <v>277883</v>
      </c>
      <c r="E32" s="207">
        <f>'Insurance Premium Tax'!I22</f>
        <v>983741</v>
      </c>
      <c r="F32" s="207"/>
      <c r="G32" s="207">
        <f>'Mining, Oil &amp; Gas Severance'!B17</f>
        <v>866251</v>
      </c>
      <c r="H32" s="59"/>
      <c r="I32" s="218">
        <f t="shared" si="0"/>
        <v>3033364</v>
      </c>
    </row>
    <row r="33" spans="1:9">
      <c r="A33" s="55">
        <v>1951</v>
      </c>
      <c r="B33" s="206">
        <f>'Cigarette  and Tobacco Taxes'!D33</f>
        <v>931213</v>
      </c>
      <c r="C33" s="206"/>
      <c r="D33" s="206">
        <f>'Beer Tax'!E21</f>
        <v>296063</v>
      </c>
      <c r="E33" s="206">
        <f>'Insurance Premium Tax'!I23</f>
        <v>1102203.29</v>
      </c>
      <c r="F33" s="206"/>
      <c r="G33" s="206">
        <f>'Mining, Oil &amp; Gas Severance'!B18</f>
        <v>1422134</v>
      </c>
      <c r="H33" s="56"/>
      <c r="I33" s="217">
        <f t="shared" si="0"/>
        <v>3751613.29</v>
      </c>
    </row>
    <row r="34" spans="1:9">
      <c r="A34" s="55">
        <v>1952</v>
      </c>
      <c r="B34" s="206">
        <f>'Cigarette  and Tobacco Taxes'!D34</f>
        <v>951777</v>
      </c>
      <c r="C34" s="206"/>
      <c r="D34" s="206">
        <f>'Beer Tax'!E22</f>
        <v>269162</v>
      </c>
      <c r="E34" s="206">
        <f>'Insurance Premium Tax'!I24</f>
        <v>1311331</v>
      </c>
      <c r="F34" s="206"/>
      <c r="G34" s="206">
        <f>'Mining, Oil &amp; Gas Severance'!B19</f>
        <v>1731757</v>
      </c>
      <c r="H34" s="56"/>
      <c r="I34" s="217">
        <f t="shared" si="0"/>
        <v>4264027</v>
      </c>
    </row>
    <row r="35" spans="1:9">
      <c r="A35" s="55">
        <v>1953</v>
      </c>
      <c r="B35" s="208">
        <f>'Cigarette  and Tobacco Taxes'!D35</f>
        <v>978855</v>
      </c>
      <c r="C35" s="208"/>
      <c r="D35" s="208">
        <f>'Beer Tax'!E23</f>
        <v>215159</v>
      </c>
      <c r="E35" s="208">
        <f>'Insurance Premium Tax'!I25</f>
        <v>1505342</v>
      </c>
      <c r="F35" s="208"/>
      <c r="G35" s="208">
        <f>'Mining, Oil &amp; Gas Severance'!B20</f>
        <v>1844481</v>
      </c>
      <c r="H35" s="54"/>
      <c r="I35" s="219">
        <f t="shared" si="0"/>
        <v>4543837</v>
      </c>
    </row>
    <row r="36" spans="1:9">
      <c r="A36" s="55">
        <v>1954</v>
      </c>
      <c r="B36" s="208">
        <f>'Cigarette  and Tobacco Taxes'!D36</f>
        <v>1231463</v>
      </c>
      <c r="C36" s="208"/>
      <c r="D36" s="208">
        <f>'Beer Tax'!E24</f>
        <v>218763</v>
      </c>
      <c r="E36" s="208">
        <f>'Insurance Premium Tax'!I26</f>
        <v>1647115</v>
      </c>
      <c r="F36" s="208"/>
      <c r="G36" s="208">
        <f>'Mining, Oil &amp; Gas Severance'!B21</f>
        <v>2097689</v>
      </c>
      <c r="H36" s="54"/>
      <c r="I36" s="219">
        <f t="shared" si="0"/>
        <v>5195030</v>
      </c>
    </row>
    <row r="37" spans="1:9">
      <c r="A37" s="58">
        <v>1955</v>
      </c>
      <c r="B37" s="209">
        <f>'Cigarette  and Tobacco Taxes'!D37</f>
        <v>1824278</v>
      </c>
      <c r="C37" s="209"/>
      <c r="D37" s="209">
        <f>'Beer Tax'!E25</f>
        <v>227938</v>
      </c>
      <c r="E37" s="209">
        <f>'Insurance Premium Tax'!I27</f>
        <v>1533411.37</v>
      </c>
      <c r="F37" s="209"/>
      <c r="G37" s="209">
        <f>'Mining, Oil &amp; Gas Severance'!B22</f>
        <v>1760368</v>
      </c>
      <c r="H37" s="60"/>
      <c r="I37" s="220">
        <f t="shared" si="0"/>
        <v>5345995.37</v>
      </c>
    </row>
    <row r="38" spans="1:9">
      <c r="A38" s="55">
        <v>1956</v>
      </c>
      <c r="B38" s="208">
        <f>'Cigarette  and Tobacco Taxes'!D38</f>
        <v>1917469</v>
      </c>
      <c r="C38" s="208"/>
      <c r="D38" s="208">
        <f>'Beer Tax'!E26</f>
        <v>258631</v>
      </c>
      <c r="E38" s="208">
        <f>'Insurance Premium Tax'!I28</f>
        <v>1677999</v>
      </c>
      <c r="F38" s="208"/>
      <c r="G38" s="208">
        <f>'Mining, Oil &amp; Gas Severance'!B23</f>
        <v>2459673</v>
      </c>
      <c r="H38" s="54"/>
      <c r="I38" s="219">
        <f t="shared" si="0"/>
        <v>6313772</v>
      </c>
    </row>
    <row r="39" spans="1:9">
      <c r="A39" s="55">
        <v>1957</v>
      </c>
      <c r="B39" s="210">
        <f>'Cigarette  and Tobacco Taxes'!D39</f>
        <v>1996378</v>
      </c>
      <c r="C39" s="210"/>
      <c r="D39" s="210">
        <f>'Beer Tax'!E27</f>
        <v>236399</v>
      </c>
      <c r="E39" s="210">
        <f>'Insurance Premium Tax'!I29</f>
        <v>1864768.97</v>
      </c>
      <c r="F39" s="210"/>
      <c r="G39" s="210">
        <f>'Mining, Oil &amp; Gas Severance'!B24</f>
        <v>2766326</v>
      </c>
      <c r="H39" s="310"/>
      <c r="I39" s="221">
        <f t="shared" si="0"/>
        <v>6863871.9699999997</v>
      </c>
    </row>
    <row r="40" spans="1:9">
      <c r="A40" s="55">
        <v>1958</v>
      </c>
      <c r="B40" s="208">
        <f>'Cigarette  and Tobacco Taxes'!D40</f>
        <v>2045613</v>
      </c>
      <c r="C40" s="208"/>
      <c r="D40" s="208">
        <f>'Beer Tax'!E28</f>
        <v>255459</v>
      </c>
      <c r="E40" s="208">
        <f>'Insurance Premium Tax'!I30</f>
        <v>1997536</v>
      </c>
      <c r="F40" s="208"/>
      <c r="G40" s="208">
        <f>'Mining, Oil &amp; Gas Severance'!B25</f>
        <v>2230902</v>
      </c>
      <c r="H40" s="54"/>
      <c r="I40" s="219">
        <f t="shared" si="0"/>
        <v>6529510</v>
      </c>
    </row>
    <row r="41" spans="1:9">
      <c r="A41" s="55">
        <v>1959</v>
      </c>
      <c r="B41" s="208">
        <f>'Cigarette  and Tobacco Taxes'!D41</f>
        <v>2206133</v>
      </c>
      <c r="C41" s="208"/>
      <c r="D41" s="208">
        <f>'Beer Tax'!E29</f>
        <v>240420</v>
      </c>
      <c r="E41" s="208">
        <f>'Insurance Premium Tax'!I31</f>
        <v>2143246.19</v>
      </c>
      <c r="F41" s="208"/>
      <c r="G41" s="208">
        <f>'Mining, Oil &amp; Gas Severance'!B26</f>
        <v>2395380</v>
      </c>
      <c r="H41" s="54"/>
      <c r="I41" s="219">
        <f t="shared" si="0"/>
        <v>6985179.1899999995</v>
      </c>
    </row>
    <row r="42" spans="1:9">
      <c r="A42" s="58">
        <v>1960</v>
      </c>
      <c r="B42" s="209">
        <f>'Cigarette  and Tobacco Taxes'!D42</f>
        <v>2329515</v>
      </c>
      <c r="C42" s="209"/>
      <c r="D42" s="209">
        <f>'Beer Tax'!E30</f>
        <v>253160</v>
      </c>
      <c r="E42" s="209">
        <f>'Insurance Premium Tax'!I32</f>
        <v>2356417</v>
      </c>
      <c r="F42" s="209"/>
      <c r="G42" s="209">
        <f>'Mining, Oil &amp; Gas Severance'!B27</f>
        <v>3664677</v>
      </c>
      <c r="H42" s="60"/>
      <c r="I42" s="220">
        <f t="shared" si="0"/>
        <v>8603769</v>
      </c>
    </row>
    <row r="43" spans="1:9">
      <c r="A43" s="55">
        <v>1961</v>
      </c>
      <c r="B43" s="208">
        <f>'Cigarette  and Tobacco Taxes'!D43</f>
        <v>2465414</v>
      </c>
      <c r="C43" s="208"/>
      <c r="D43" s="208">
        <f>'Beer Tax'!E31</f>
        <v>261234</v>
      </c>
      <c r="E43" s="208">
        <f>'Insurance Premium Tax'!I33</f>
        <v>2474683.17</v>
      </c>
      <c r="F43" s="208"/>
      <c r="G43" s="208">
        <f>'Mining, Oil &amp; Gas Severance'!B28</f>
        <v>3601537</v>
      </c>
      <c r="H43" s="54"/>
      <c r="I43" s="219">
        <f t="shared" si="0"/>
        <v>8802868.1699999999</v>
      </c>
    </row>
    <row r="44" spans="1:9">
      <c r="A44" s="55">
        <v>1962</v>
      </c>
      <c r="B44" s="208">
        <f>'Cigarette  and Tobacco Taxes'!D44</f>
        <v>2471708</v>
      </c>
      <c r="C44" s="208"/>
      <c r="D44" s="208">
        <f>'Beer Tax'!E32</f>
        <v>285202</v>
      </c>
      <c r="E44" s="208">
        <f>'Insurance Premium Tax'!I34</f>
        <v>2652910.7400000002</v>
      </c>
      <c r="F44" s="208"/>
      <c r="G44" s="208">
        <f>'Mining, Oil &amp; Gas Severance'!B29</f>
        <v>3497841</v>
      </c>
      <c r="H44" s="54"/>
      <c r="I44" s="219">
        <f t="shared" si="0"/>
        <v>8907661.7400000002</v>
      </c>
    </row>
    <row r="45" spans="1:9">
      <c r="A45" s="55">
        <v>1963</v>
      </c>
      <c r="B45" s="208">
        <f>'Cigarette  and Tobacco Taxes'!D45</f>
        <v>2630727</v>
      </c>
      <c r="C45" s="208"/>
      <c r="D45" s="208">
        <f>'Beer Tax'!E33</f>
        <v>286060</v>
      </c>
      <c r="E45" s="208">
        <f>'Insurance Premium Tax'!I35</f>
        <v>2860634.98</v>
      </c>
      <c r="F45" s="208"/>
      <c r="G45" s="208">
        <f>'Mining, Oil &amp; Gas Severance'!B30</f>
        <v>2476141</v>
      </c>
      <c r="H45" s="54"/>
      <c r="I45" s="219">
        <f t="shared" si="0"/>
        <v>8253562.9800000004</v>
      </c>
    </row>
    <row r="46" spans="1:9">
      <c r="A46" s="55">
        <v>1964</v>
      </c>
      <c r="B46" s="208">
        <f>'Cigarette  and Tobacco Taxes'!D46</f>
        <v>4667788</v>
      </c>
      <c r="C46" s="208">
        <f>'Cigarette  and Tobacco Taxes'!I46</f>
        <v>179658</v>
      </c>
      <c r="D46" s="208">
        <f>'Beer Tax'!E34</f>
        <v>309303</v>
      </c>
      <c r="E46" s="208">
        <f>'Insurance Premium Tax'!I36</f>
        <v>3073414</v>
      </c>
      <c r="F46" s="208"/>
      <c r="G46" s="208">
        <f>'Mining, Oil &amp; Gas Severance'!B31</f>
        <v>4005334</v>
      </c>
      <c r="H46" s="54"/>
      <c r="I46" s="219">
        <f t="shared" si="0"/>
        <v>12235497</v>
      </c>
    </row>
    <row r="47" spans="1:9">
      <c r="A47" s="58">
        <v>1965</v>
      </c>
      <c r="B47" s="209">
        <f>'Cigarette  and Tobacco Taxes'!D47</f>
        <v>4995076</v>
      </c>
      <c r="C47" s="209">
        <f>'Cigarette  and Tobacco Taxes'!I47</f>
        <v>225934</v>
      </c>
      <c r="D47" s="209">
        <f>'Beer Tax'!E35</f>
        <v>317027</v>
      </c>
      <c r="E47" s="209">
        <f>'Insurance Premium Tax'!I37</f>
        <v>3432944.86</v>
      </c>
      <c r="F47" s="209"/>
      <c r="G47" s="209">
        <f>'Mining, Oil &amp; Gas Severance'!B32</f>
        <v>3084356</v>
      </c>
      <c r="H47" s="60"/>
      <c r="I47" s="220">
        <f t="shared" si="0"/>
        <v>12055337.859999999</v>
      </c>
    </row>
    <row r="48" spans="1:9">
      <c r="A48" s="55">
        <v>1966</v>
      </c>
      <c r="B48" s="208">
        <f>'Cigarette  and Tobacco Taxes'!D48</f>
        <v>5042644</v>
      </c>
      <c r="C48" s="208">
        <f>'Cigarette  and Tobacco Taxes'!I48</f>
        <v>193444</v>
      </c>
      <c r="D48" s="208">
        <f>'Beer Tax'!E36</f>
        <v>302216</v>
      </c>
      <c r="E48" s="208">
        <f>'Insurance Premium Tax'!I38</f>
        <v>3542446</v>
      </c>
      <c r="F48" s="208"/>
      <c r="G48" s="208">
        <f>'Mining, Oil &amp; Gas Severance'!B33</f>
        <v>3359277</v>
      </c>
      <c r="H48" s="54"/>
      <c r="I48" s="219">
        <f t="shared" si="0"/>
        <v>12440027</v>
      </c>
    </row>
    <row r="49" spans="1:9">
      <c r="A49" s="55">
        <v>1967</v>
      </c>
      <c r="B49" s="208">
        <f>'Cigarette  and Tobacco Taxes'!D49</f>
        <v>4993168</v>
      </c>
      <c r="C49" s="208">
        <f>'Cigarette  and Tobacco Taxes'!I49</f>
        <v>183155</v>
      </c>
      <c r="D49" s="208">
        <f>'Beer Tax'!E37</f>
        <v>353280</v>
      </c>
      <c r="E49" s="208">
        <f>'Insurance Premium Tax'!I39</f>
        <v>3832678</v>
      </c>
      <c r="F49" s="208"/>
      <c r="G49" s="208">
        <f>'Mining, Oil &amp; Gas Severance'!B34</f>
        <v>3221555</v>
      </c>
      <c r="H49" s="54"/>
      <c r="I49" s="219">
        <f t="shared" si="0"/>
        <v>12583836</v>
      </c>
    </row>
    <row r="50" spans="1:9">
      <c r="A50" s="55">
        <v>1968</v>
      </c>
      <c r="B50" s="208">
        <f>'Cigarette  and Tobacco Taxes'!D50</f>
        <v>5028470</v>
      </c>
      <c r="C50" s="208">
        <f>'Cigarette  and Tobacco Taxes'!I50</f>
        <v>179572</v>
      </c>
      <c r="D50" s="208">
        <f>'Beer Tax'!E38</f>
        <v>342037</v>
      </c>
      <c r="E50" s="208">
        <f>'Insurance Premium Tax'!I40</f>
        <v>4027299.23</v>
      </c>
      <c r="F50" s="208"/>
      <c r="G50" s="208">
        <f>'Mining, Oil &amp; Gas Severance'!B35</f>
        <v>2674337</v>
      </c>
      <c r="H50" s="54"/>
      <c r="I50" s="219">
        <f t="shared" si="0"/>
        <v>12251715.23</v>
      </c>
    </row>
    <row r="51" spans="1:9">
      <c r="A51" s="55">
        <v>1969</v>
      </c>
      <c r="B51" s="54">
        <f>'Cigarette  and Tobacco Taxes'!D51</f>
        <v>5238619</v>
      </c>
      <c r="C51" s="54">
        <f>'Cigarette  and Tobacco Taxes'!I51</f>
        <v>182860</v>
      </c>
      <c r="D51" s="54">
        <f>'Beer Tax'!E39</f>
        <v>364256</v>
      </c>
      <c r="E51" s="54">
        <f>'Insurance Premium Tax'!I41</f>
        <v>4352499</v>
      </c>
      <c r="F51" s="54"/>
      <c r="G51" s="54">
        <f>'Mining, Oil &amp; Gas Severance'!B36</f>
        <v>2901126</v>
      </c>
      <c r="H51" s="54"/>
      <c r="I51" s="219">
        <f t="shared" si="0"/>
        <v>13039360</v>
      </c>
    </row>
    <row r="52" spans="1:9">
      <c r="A52" s="58">
        <v>1970</v>
      </c>
      <c r="B52" s="209">
        <f>'Cigarette  and Tobacco Taxes'!D52</f>
        <v>5294104</v>
      </c>
      <c r="C52" s="209">
        <f>'Cigarette  and Tobacco Taxes'!I52</f>
        <v>190836</v>
      </c>
      <c r="D52" s="209">
        <f>'Beer Tax'!E40</f>
        <v>408576</v>
      </c>
      <c r="E52" s="209">
        <f>'Insurance Premium Tax'!I42</f>
        <v>4835167</v>
      </c>
      <c r="F52" s="209"/>
      <c r="G52" s="209">
        <f>'Mining, Oil &amp; Gas Severance'!B37</f>
        <v>4179357</v>
      </c>
      <c r="H52" s="60"/>
      <c r="I52" s="220">
        <f t="shared" si="0"/>
        <v>14908040</v>
      </c>
    </row>
    <row r="53" spans="1:9">
      <c r="A53" s="55">
        <v>1971</v>
      </c>
      <c r="B53" s="208">
        <f>'Cigarette  and Tobacco Taxes'!D53</f>
        <v>5596549</v>
      </c>
      <c r="C53" s="208">
        <f>'Cigarette  and Tobacco Taxes'!I53</f>
        <v>214843</v>
      </c>
      <c r="D53" s="208">
        <f>'Beer Tax'!E41</f>
        <v>432680</v>
      </c>
      <c r="E53" s="208">
        <f>'Insurance Premium Tax'!I43</f>
        <v>5548086</v>
      </c>
      <c r="F53" s="208"/>
      <c r="G53" s="208">
        <f>'Mining, Oil &amp; Gas Severance'!B38</f>
        <v>4576494</v>
      </c>
      <c r="H53" s="54"/>
      <c r="I53" s="219">
        <f t="shared" si="0"/>
        <v>16368652</v>
      </c>
    </row>
    <row r="54" spans="1:9">
      <c r="A54" s="55">
        <v>1972</v>
      </c>
      <c r="B54" s="208">
        <f>'Cigarette  and Tobacco Taxes'!D54</f>
        <v>6057789</v>
      </c>
      <c r="C54" s="208">
        <f>'Cigarette  and Tobacco Taxes'!I54</f>
        <v>223404</v>
      </c>
      <c r="D54" s="208">
        <f>'Beer Tax'!E42</f>
        <v>1211902</v>
      </c>
      <c r="E54" s="208">
        <f>'Insurance Premium Tax'!I44</f>
        <v>6399664</v>
      </c>
      <c r="F54" s="208"/>
      <c r="G54" s="208">
        <f>'Mining, Oil &amp; Gas Severance'!B39</f>
        <v>3830829</v>
      </c>
      <c r="H54" s="54"/>
      <c r="I54" s="219">
        <f t="shared" si="0"/>
        <v>17723588</v>
      </c>
    </row>
    <row r="55" spans="1:9">
      <c r="A55" s="55">
        <v>1973</v>
      </c>
      <c r="B55" s="208">
        <f>'Cigarette  and Tobacco Taxes'!D55</f>
        <v>6291683</v>
      </c>
      <c r="C55" s="208">
        <f>'Cigarette  and Tobacco Taxes'!I55</f>
        <v>228956</v>
      </c>
      <c r="D55" s="208">
        <f>'Beer Tax'!E43</f>
        <v>1413886</v>
      </c>
      <c r="E55" s="208">
        <f>'Insurance Premium Tax'!I45</f>
        <v>7213245.5499999998</v>
      </c>
      <c r="F55" s="208"/>
      <c r="G55" s="208">
        <f>'Mining, Oil &amp; Gas Severance'!B40</f>
        <v>3801382</v>
      </c>
      <c r="H55" s="54"/>
      <c r="I55" s="219">
        <f t="shared" si="0"/>
        <v>18949152.550000001</v>
      </c>
    </row>
    <row r="56" spans="1:9">
      <c r="A56" s="55">
        <v>1974</v>
      </c>
      <c r="B56" s="208">
        <f>'Cigarette  and Tobacco Taxes'!D56</f>
        <v>6702487</v>
      </c>
      <c r="C56" s="208">
        <f>'Cigarette  and Tobacco Taxes'!I56</f>
        <v>238302</v>
      </c>
      <c r="D56" s="208">
        <f>'Beer Tax'!E44</f>
        <v>1507619</v>
      </c>
      <c r="E56" s="208">
        <f>'Insurance Premium Tax'!I46</f>
        <v>8010984.21</v>
      </c>
      <c r="F56" s="208"/>
      <c r="G56" s="208">
        <f>'Mining, Oil &amp; Gas Severance'!B41</f>
        <v>5033602</v>
      </c>
      <c r="H56" s="54"/>
      <c r="I56" s="219">
        <f t="shared" si="0"/>
        <v>21492994.210000001</v>
      </c>
    </row>
    <row r="57" spans="1:9">
      <c r="A57" s="58">
        <v>1975</v>
      </c>
      <c r="B57" s="209">
        <f>'Cigarette  and Tobacco Taxes'!D57</f>
        <v>6862185</v>
      </c>
      <c r="C57" s="209">
        <f>'Cigarette  and Tobacco Taxes'!I57</f>
        <v>267705</v>
      </c>
      <c r="D57" s="209">
        <f>'Beer Tax'!E45</f>
        <v>1629922</v>
      </c>
      <c r="E57" s="209">
        <f>'Insurance Premium Tax'!I47</f>
        <v>8148154.0199999996</v>
      </c>
      <c r="F57" s="209"/>
      <c r="G57" s="209">
        <f>'Mining, Oil &amp; Gas Severance'!B42</f>
        <v>5769461</v>
      </c>
      <c r="H57" s="60"/>
      <c r="I57" s="220">
        <f t="shared" si="0"/>
        <v>22677427.02</v>
      </c>
    </row>
    <row r="58" spans="1:9">
      <c r="A58" s="55">
        <v>1976</v>
      </c>
      <c r="B58" s="208">
        <f>'Cigarette  and Tobacco Taxes'!D58</f>
        <v>7268563</v>
      </c>
      <c r="C58" s="208">
        <f>'Cigarette  and Tobacco Taxes'!I58</f>
        <v>264266</v>
      </c>
      <c r="D58" s="208">
        <f>'Beer Tax'!E46</f>
        <v>1692821</v>
      </c>
      <c r="E58" s="208">
        <f>'Insurance Premium Tax'!I48</f>
        <v>9712321</v>
      </c>
      <c r="F58" s="208"/>
      <c r="G58" s="208">
        <f>'Mining, Oil &amp; Gas Severance'!B43</f>
        <v>11258648</v>
      </c>
      <c r="H58" s="54"/>
      <c r="I58" s="219">
        <f t="shared" si="0"/>
        <v>30196619</v>
      </c>
    </row>
    <row r="59" spans="1:9">
      <c r="A59" s="55">
        <v>1977</v>
      </c>
      <c r="B59" s="208">
        <f>'Cigarette  and Tobacco Taxes'!D59</f>
        <v>7482565</v>
      </c>
      <c r="C59" s="208">
        <f>'Cigarette  and Tobacco Taxes'!I59</f>
        <v>302307</v>
      </c>
      <c r="D59" s="208">
        <f>'Beer Tax'!E47</f>
        <v>1904552</v>
      </c>
      <c r="E59" s="208">
        <f>'Insurance Premium Tax'!I49</f>
        <v>11813832.039999999</v>
      </c>
      <c r="F59" s="208"/>
      <c r="G59" s="208">
        <f>'Mining, Oil &amp; Gas Severance'!B44</f>
        <v>8489036</v>
      </c>
      <c r="H59" s="54"/>
      <c r="I59" s="219">
        <f t="shared" si="0"/>
        <v>29992292.039999999</v>
      </c>
    </row>
    <row r="60" spans="1:9">
      <c r="A60" s="55">
        <v>1978</v>
      </c>
      <c r="B60" s="208">
        <f>'Cigarette  and Tobacco Taxes'!D60</f>
        <v>7775024</v>
      </c>
      <c r="C60" s="208">
        <f>'Cigarette  and Tobacco Taxes'!I60</f>
        <v>314188</v>
      </c>
      <c r="D60" s="208">
        <f>'Beer Tax'!E48</f>
        <v>1985418</v>
      </c>
      <c r="E60" s="208">
        <f>'Insurance Premium Tax'!I50</f>
        <v>14083723.699999999</v>
      </c>
      <c r="F60" s="208"/>
      <c r="G60" s="208">
        <f>'Mining, Oil &amp; Gas Severance'!B45</f>
        <v>8446277</v>
      </c>
      <c r="H60" s="54"/>
      <c r="I60" s="219">
        <f t="shared" si="0"/>
        <v>32604630.699999999</v>
      </c>
    </row>
    <row r="61" spans="1:9">
      <c r="A61" s="55">
        <v>1979</v>
      </c>
      <c r="B61" s="208">
        <f>'Cigarette  and Tobacco Taxes'!D61</f>
        <v>7908215</v>
      </c>
      <c r="C61" s="208">
        <f>'Cigarette  and Tobacco Taxes'!I61</f>
        <v>334527</v>
      </c>
      <c r="D61" s="208">
        <f>'Beer Tax'!E49</f>
        <v>1913438</v>
      </c>
      <c r="E61" s="208">
        <f>'Insurance Premium Tax'!I51</f>
        <v>16080011.32</v>
      </c>
      <c r="F61" s="208"/>
      <c r="G61" s="208">
        <f>'Mining, Oil &amp; Gas Severance'!B46</f>
        <v>8423221</v>
      </c>
      <c r="H61" s="54"/>
      <c r="I61" s="219">
        <f t="shared" si="0"/>
        <v>34659412.32</v>
      </c>
    </row>
    <row r="62" spans="1:9">
      <c r="A62" s="58">
        <v>1980</v>
      </c>
      <c r="B62" s="209">
        <f>'Cigarette  and Tobacco Taxes'!D62</f>
        <v>9853608</v>
      </c>
      <c r="C62" s="209">
        <f>'Cigarette  and Tobacco Taxes'!I62</f>
        <v>417634</v>
      </c>
      <c r="D62" s="209">
        <f>'Beer Tax'!E50</f>
        <v>2174058</v>
      </c>
      <c r="E62" s="209">
        <f>'Insurance Premium Tax'!I52</f>
        <v>17845218.780000001</v>
      </c>
      <c r="F62" s="209"/>
      <c r="G62" s="209">
        <f>'Mining, Oil &amp; Gas Severance'!B47</f>
        <v>9821081</v>
      </c>
      <c r="H62" s="60"/>
      <c r="I62" s="220">
        <f t="shared" si="0"/>
        <v>40111599.780000001</v>
      </c>
    </row>
    <row r="63" spans="1:9">
      <c r="A63" s="55">
        <v>1981</v>
      </c>
      <c r="B63" s="208">
        <f>'Cigarette  and Tobacco Taxes'!D63</f>
        <v>10794895</v>
      </c>
      <c r="C63" s="208">
        <f>'Cigarette  and Tobacco Taxes'!I63</f>
        <v>498475</v>
      </c>
      <c r="D63" s="208">
        <f>'Beer Tax'!E51</f>
        <v>2227120</v>
      </c>
      <c r="E63" s="208">
        <f>'Insurance Premium Tax'!I53</f>
        <v>18984554</v>
      </c>
      <c r="F63" s="208"/>
      <c r="G63" s="208">
        <f>'Mining, Oil &amp; Gas Severance'!B48</f>
        <v>14757130</v>
      </c>
      <c r="H63" s="54"/>
      <c r="I63" s="219">
        <f t="shared" si="0"/>
        <v>47262174</v>
      </c>
    </row>
    <row r="64" spans="1:9">
      <c r="A64" s="55">
        <v>1982</v>
      </c>
      <c r="B64" s="208">
        <f>'Cigarette  and Tobacco Taxes'!D64</f>
        <v>10612198</v>
      </c>
      <c r="C64" s="208">
        <f>'Cigarette  and Tobacco Taxes'!I64</f>
        <v>552768</v>
      </c>
      <c r="D64" s="208">
        <f>'Beer Tax'!E52</f>
        <v>2942982</v>
      </c>
      <c r="E64" s="208">
        <f>'Insurance Premium Tax'!I54</f>
        <v>20044420.07</v>
      </c>
      <c r="F64" s="208">
        <f>'Oil &amp; Gas Conservation Fee'!B4</f>
        <v>1617373</v>
      </c>
      <c r="G64" s="208">
        <f>'Mining, Oil &amp; Gas Severance'!B49</f>
        <v>20694158</v>
      </c>
      <c r="H64" s="54"/>
      <c r="I64" s="219">
        <f t="shared" si="0"/>
        <v>56463899.07</v>
      </c>
    </row>
    <row r="65" spans="1:9">
      <c r="A65" s="55">
        <v>1983</v>
      </c>
      <c r="B65" s="208">
        <f>'Cigarette  and Tobacco Taxes'!D65</f>
        <v>12689134</v>
      </c>
      <c r="C65" s="208">
        <f>'Cigarette  and Tobacco Taxes'!I65</f>
        <v>602210</v>
      </c>
      <c r="D65" s="208">
        <f>'Beer Tax'!E53</f>
        <v>2949304</v>
      </c>
      <c r="E65" s="208">
        <f>'Insurance Premium Tax'!I55</f>
        <v>22654661.75</v>
      </c>
      <c r="F65" s="208">
        <f>'Oil &amp; Gas Conservation Fee'!B5</f>
        <v>1730952</v>
      </c>
      <c r="G65" s="208">
        <f>'Mining, Oil &amp; Gas Severance'!B50</f>
        <v>19433070</v>
      </c>
      <c r="H65" s="54"/>
      <c r="I65" s="219">
        <f t="shared" si="0"/>
        <v>60059331.75</v>
      </c>
    </row>
    <row r="66" spans="1:9">
      <c r="A66" s="55">
        <v>1984</v>
      </c>
      <c r="B66" s="208">
        <f>'Cigarette  and Tobacco Taxes'!D66</f>
        <v>12195759</v>
      </c>
      <c r="C66" s="208">
        <f>'Cigarette  and Tobacco Taxes'!I66</f>
        <v>668036</v>
      </c>
      <c r="D66" s="208">
        <f>'Beer Tax'!E54</f>
        <v>7134426</v>
      </c>
      <c r="E66" s="208">
        <f>'Insurance Premium Tax'!I56</f>
        <v>24251076.34</v>
      </c>
      <c r="F66" s="208">
        <f>'Oil &amp; Gas Conservation Fee'!B6</f>
        <v>2173090</v>
      </c>
      <c r="G66" s="208">
        <f>'Mining, Oil &amp; Gas Severance'!B51</f>
        <v>36244629</v>
      </c>
      <c r="H66" s="54"/>
      <c r="I66" s="219">
        <f t="shared" si="0"/>
        <v>82667016.340000004</v>
      </c>
    </row>
    <row r="67" spans="1:9">
      <c r="A67" s="58">
        <v>1985</v>
      </c>
      <c r="B67" s="209">
        <f>'Cigarette  and Tobacco Taxes'!D67</f>
        <v>12486660</v>
      </c>
      <c r="C67" s="209">
        <f>'Cigarette  and Tobacco Taxes'!I67</f>
        <v>697269</v>
      </c>
      <c r="D67" s="209">
        <f>'Beer Tax'!E55</f>
        <v>8129900</v>
      </c>
      <c r="E67" s="209">
        <f>'Insurance Premium Tax'!I57</f>
        <v>26171790.050000001</v>
      </c>
      <c r="F67" s="209">
        <f>'Oil &amp; Gas Conservation Fee'!B7</f>
        <v>2473266</v>
      </c>
      <c r="G67" s="209">
        <f>'Mining, Oil &amp; Gas Severance'!B52</f>
        <v>47208160</v>
      </c>
      <c r="H67" s="60"/>
      <c r="I67" s="220">
        <f t="shared" si="0"/>
        <v>97167045.049999997</v>
      </c>
    </row>
    <row r="68" spans="1:9">
      <c r="A68" s="55">
        <v>1986</v>
      </c>
      <c r="B68" s="208">
        <f>'Cigarette  and Tobacco Taxes'!D68</f>
        <v>12249017</v>
      </c>
      <c r="C68" s="208">
        <f>'Cigarette  and Tobacco Taxes'!I68</f>
        <v>885456</v>
      </c>
      <c r="D68" s="208">
        <f>'Beer Tax'!E56</f>
        <v>7918330</v>
      </c>
      <c r="E68" s="208">
        <f>'Insurance Premium Tax'!I58</f>
        <v>29721216.059999999</v>
      </c>
      <c r="F68" s="208">
        <f>'Oil &amp; Gas Conservation Fee'!B8</f>
        <v>2313495</v>
      </c>
      <c r="G68" s="208">
        <f>'Mining, Oil &amp; Gas Severance'!B53</f>
        <v>43796980</v>
      </c>
      <c r="H68" s="54"/>
      <c r="I68" s="219">
        <f t="shared" si="0"/>
        <v>96884494.060000002</v>
      </c>
    </row>
    <row r="69" spans="1:9">
      <c r="A69" s="55">
        <v>1987</v>
      </c>
      <c r="B69" s="208">
        <f>'Cigarette  and Tobacco Taxes'!D69</f>
        <v>14821945</v>
      </c>
      <c r="C69" s="208">
        <f>'Cigarette  and Tobacco Taxes'!I69</f>
        <v>1135228</v>
      </c>
      <c r="D69" s="208">
        <f>'Beer Tax'!E57</f>
        <v>8042814</v>
      </c>
      <c r="E69" s="208">
        <f>'Insurance Premium Tax'!I59</f>
        <v>34274327</v>
      </c>
      <c r="F69" s="208">
        <f>'Oil &amp; Gas Conservation Fee'!B9</f>
        <v>1232911</v>
      </c>
      <c r="G69" s="208">
        <f>'Mining, Oil &amp; Gas Severance'!B54</f>
        <v>21680640</v>
      </c>
      <c r="H69" s="54"/>
      <c r="I69" s="219">
        <f t="shared" ref="I69:I102" si="1">SUM(B69:H69)</f>
        <v>81187865</v>
      </c>
    </row>
    <row r="70" spans="1:9">
      <c r="A70" s="55">
        <v>1988</v>
      </c>
      <c r="B70" s="208">
        <f>'Cigarette  and Tobacco Taxes'!D70</f>
        <v>20349552</v>
      </c>
      <c r="C70" s="208">
        <f>'Cigarette  and Tobacco Taxes'!I70</f>
        <v>1281198</v>
      </c>
      <c r="D70" s="208">
        <f>'Beer Tax'!E58</f>
        <v>7559416</v>
      </c>
      <c r="E70" s="208">
        <f>'Insurance Premium Tax'!I60</f>
        <v>36190645</v>
      </c>
      <c r="F70" s="208">
        <f>'Oil &amp; Gas Conservation Fee'!B10</f>
        <v>1825391</v>
      </c>
      <c r="G70" s="208">
        <f>'Mining, Oil &amp; Gas Severance'!B55</f>
        <v>29155928</v>
      </c>
      <c r="H70" s="54"/>
      <c r="I70" s="219">
        <f t="shared" si="1"/>
        <v>96362130</v>
      </c>
    </row>
    <row r="71" spans="1:9">
      <c r="A71" s="55">
        <v>1989</v>
      </c>
      <c r="B71" s="208">
        <f>'Cigarette  and Tobacco Taxes'!D71</f>
        <v>21619249</v>
      </c>
      <c r="C71" s="208">
        <f>'Cigarette  and Tobacco Taxes'!I71</f>
        <v>1472450</v>
      </c>
      <c r="D71" s="208">
        <f>'Beer Tax'!E59</f>
        <v>7640817</v>
      </c>
      <c r="E71" s="208">
        <f>'Insurance Premium Tax'!I61</f>
        <v>38570820</v>
      </c>
      <c r="F71" s="208">
        <f>'Oil &amp; Gas Conservation Fee'!B11</f>
        <v>1064730</v>
      </c>
      <c r="G71" s="208">
        <f>'Mining, Oil &amp; Gas Severance'!B56</f>
        <v>28134067</v>
      </c>
      <c r="H71" s="54"/>
      <c r="I71" s="219">
        <f t="shared" si="1"/>
        <v>98502133</v>
      </c>
    </row>
    <row r="72" spans="1:9">
      <c r="A72" s="58">
        <v>1990</v>
      </c>
      <c r="B72" s="209">
        <f>'Cigarette  and Tobacco Taxes'!D72</f>
        <v>20547525</v>
      </c>
      <c r="C72" s="209">
        <f>'Cigarette  and Tobacco Taxes'!I72</f>
        <v>1708732</v>
      </c>
      <c r="D72" s="209">
        <f>'Beer Tax'!E60</f>
        <v>7926214</v>
      </c>
      <c r="E72" s="209">
        <f>'Insurance Premium Tax'!I62</f>
        <v>41091363</v>
      </c>
      <c r="F72" s="209">
        <f>'Oil &amp; Gas Conservation Fee'!B12</f>
        <v>1515236</v>
      </c>
      <c r="G72" s="209">
        <f>'Mining, Oil &amp; Gas Severance'!B57</f>
        <v>30095784</v>
      </c>
      <c r="H72" s="60"/>
      <c r="I72" s="220">
        <f t="shared" si="1"/>
        <v>102884854</v>
      </c>
    </row>
    <row r="73" spans="1:9">
      <c r="A73" s="55">
        <v>1991</v>
      </c>
      <c r="B73" s="208">
        <f>'Cigarette  and Tobacco Taxes'!D73</f>
        <v>21400323</v>
      </c>
      <c r="C73" s="208">
        <f>'Cigarette  and Tobacco Taxes'!I73</f>
        <v>1898597</v>
      </c>
      <c r="D73" s="208">
        <f>'Beer Tax'!E61</f>
        <v>7743017</v>
      </c>
      <c r="E73" s="208">
        <f>'Insurance Premium Tax'!I63</f>
        <v>43913415</v>
      </c>
      <c r="F73" s="208">
        <f>'Oil &amp; Gas Conservation Fee'!B13</f>
        <v>1440823</v>
      </c>
      <c r="G73" s="208">
        <f>'Mining, Oil &amp; Gas Severance'!B58</f>
        <v>31016407</v>
      </c>
      <c r="H73" s="54"/>
      <c r="I73" s="219">
        <f t="shared" si="1"/>
        <v>107412582</v>
      </c>
    </row>
    <row r="74" spans="1:9">
      <c r="A74" s="55">
        <v>1992</v>
      </c>
      <c r="B74" s="208">
        <f>'Cigarette  and Tobacco Taxes'!D74</f>
        <v>24280511</v>
      </c>
      <c r="C74" s="208">
        <f>'Cigarette  and Tobacco Taxes'!I74</f>
        <v>1819802</v>
      </c>
      <c r="D74" s="208">
        <f>'Beer Tax'!E62</f>
        <v>8480707</v>
      </c>
      <c r="E74" s="208">
        <f>'Insurance Premium Tax'!I64</f>
        <v>48732589</v>
      </c>
      <c r="F74" s="208">
        <f>'Oil &amp; Gas Conservation Fee'!B14</f>
        <v>1114906</v>
      </c>
      <c r="G74" s="208">
        <f>'Mining, Oil &amp; Gas Severance'!B59</f>
        <v>18160200</v>
      </c>
      <c r="H74" s="54"/>
      <c r="I74" s="219">
        <f t="shared" si="1"/>
        <v>102588715</v>
      </c>
    </row>
    <row r="75" spans="1:9">
      <c r="A75" s="55">
        <v>1993</v>
      </c>
      <c r="B75" s="208">
        <f>'Cigarette  and Tobacco Taxes'!D75</f>
        <v>23458288</v>
      </c>
      <c r="C75" s="208">
        <f>'Cigarette  and Tobacco Taxes'!I75</f>
        <v>2308298</v>
      </c>
      <c r="D75" s="208">
        <f>'Beer Tax'!E63</f>
        <v>8515351</v>
      </c>
      <c r="E75" s="208">
        <f>'Insurance Premium Tax'!I65</f>
        <v>55736648</v>
      </c>
      <c r="F75" s="208">
        <f>'Oil &amp; Gas Conservation Fee'!B15</f>
        <v>1077270</v>
      </c>
      <c r="G75" s="208">
        <f>'Mining, Oil &amp; Gas Severance'!B60</f>
        <v>19266829</v>
      </c>
      <c r="H75" s="54"/>
      <c r="I75" s="219">
        <f t="shared" si="1"/>
        <v>110362684</v>
      </c>
    </row>
    <row r="76" spans="1:9">
      <c r="A76" s="55">
        <v>1994</v>
      </c>
      <c r="B76" s="208">
        <f>'Cigarette  and Tobacco Taxes'!D76</f>
        <v>25133853</v>
      </c>
      <c r="C76" s="208">
        <f>'Cigarette  and Tobacco Taxes'!I76</f>
        <v>2517841</v>
      </c>
      <c r="D76" s="208">
        <f>'Beer Tax'!E64</f>
        <v>8774763</v>
      </c>
      <c r="E76" s="208">
        <f>'Insurance Premium Tax'!I66</f>
        <v>61298311</v>
      </c>
      <c r="F76" s="208">
        <f>'Oil &amp; Gas Conservation Fee'!B16</f>
        <v>988123</v>
      </c>
      <c r="G76" s="208">
        <f>'Mining, Oil &amp; Gas Severance'!B61</f>
        <v>18872512</v>
      </c>
      <c r="H76" s="54"/>
      <c r="I76" s="219">
        <f t="shared" si="1"/>
        <v>117585403</v>
      </c>
    </row>
    <row r="77" spans="1:9">
      <c r="A77" s="58">
        <v>1995</v>
      </c>
      <c r="B77" s="209">
        <f>'Cigarette  and Tobacco Taxes'!D77</f>
        <v>25330565</v>
      </c>
      <c r="C77" s="209">
        <f>'Cigarette  and Tobacco Taxes'!I77</f>
        <v>3160297</v>
      </c>
      <c r="D77" s="209">
        <f>'Beer Tax'!E65</f>
        <v>9166556</v>
      </c>
      <c r="E77" s="209">
        <f>'Insurance Premium Tax'!I67</f>
        <v>70267079</v>
      </c>
      <c r="F77" s="209">
        <f>'Oil &amp; Gas Conservation Fee'!B17</f>
        <v>973717</v>
      </c>
      <c r="G77" s="209">
        <f>'Mining, Oil &amp; Gas Severance'!B62</f>
        <v>21403658</v>
      </c>
      <c r="H77" s="60"/>
      <c r="I77" s="220">
        <f t="shared" si="1"/>
        <v>130301872</v>
      </c>
    </row>
    <row r="78" spans="1:9">
      <c r="A78" s="211">
        <v>1996</v>
      </c>
      <c r="B78" s="130">
        <f>'Cigarette  and Tobacco Taxes'!D78</f>
        <v>25278089</v>
      </c>
      <c r="C78" s="130">
        <f>'Cigarette  and Tobacco Taxes'!I78</f>
        <v>3415608</v>
      </c>
      <c r="D78" s="130">
        <f>'Beer Tax'!E66</f>
        <v>9090612</v>
      </c>
      <c r="E78" s="130">
        <f>'Insurance Premium Tax'!I68</f>
        <v>66035380</v>
      </c>
      <c r="F78" s="130">
        <f>'Oil &amp; Gas Conservation Fee'!B18</f>
        <v>1076284</v>
      </c>
      <c r="G78" s="130">
        <f>'Mining, Oil &amp; Gas Severance'!B63</f>
        <v>20739372.170000002</v>
      </c>
      <c r="H78" s="130"/>
      <c r="I78" s="308">
        <f t="shared" si="1"/>
        <v>125635345.17</v>
      </c>
    </row>
    <row r="79" spans="1:9">
      <c r="A79" s="212">
        <v>1997</v>
      </c>
      <c r="B79" s="54">
        <f>'Cigarette  and Tobacco Taxes'!D79</f>
        <v>28026713</v>
      </c>
      <c r="C79" s="54">
        <f>'Cigarette  and Tobacco Taxes'!I79</f>
        <v>3695886</v>
      </c>
      <c r="D79" s="54">
        <f>'Beer Tax'!E67</f>
        <v>9460373</v>
      </c>
      <c r="E79" s="54">
        <f>'Insurance Premium Tax'!I69</f>
        <v>69530730</v>
      </c>
      <c r="F79" s="54">
        <f>'Oil &amp; Gas Conservation Fee'!B19</f>
        <v>1357303</v>
      </c>
      <c r="G79" s="54">
        <f>'Mining, Oil &amp; Gas Severance'!B64</f>
        <v>25182576.530000001</v>
      </c>
      <c r="H79" s="54"/>
      <c r="I79" s="219">
        <f t="shared" si="1"/>
        <v>137253581.53</v>
      </c>
    </row>
    <row r="80" spans="1:9">
      <c r="A80" s="212">
        <v>1998</v>
      </c>
      <c r="B80" s="54">
        <f>'Cigarette  and Tobacco Taxes'!D80</f>
        <v>39641568</v>
      </c>
      <c r="C80" s="54">
        <f>'Cigarette  and Tobacco Taxes'!I80</f>
        <v>4129735</v>
      </c>
      <c r="D80" s="54">
        <f>'Beer Tax'!E68</f>
        <v>9446854</v>
      </c>
      <c r="E80" s="54">
        <f>'Insurance Premium Tax'!I70</f>
        <v>82110240.920000002</v>
      </c>
      <c r="F80" s="54">
        <f>'Oil &amp; Gas Conservation Fee'!B20</f>
        <v>1181671</v>
      </c>
      <c r="G80" s="54">
        <f>'Mining, Oil &amp; Gas Severance'!B65</f>
        <v>24549019.710000001</v>
      </c>
      <c r="H80" s="54"/>
      <c r="I80" s="219">
        <f t="shared" si="1"/>
        <v>161059088.63000003</v>
      </c>
    </row>
    <row r="81" spans="1:9">
      <c r="A81" s="212">
        <v>1999</v>
      </c>
      <c r="B81" s="54">
        <f>'Cigarette  and Tobacco Taxes'!D81</f>
        <v>46451563</v>
      </c>
      <c r="C81" s="54">
        <f>'Cigarette  and Tobacco Taxes'!I81</f>
        <v>4007879</v>
      </c>
      <c r="D81" s="54">
        <f>'Beer Tax'!E69</f>
        <v>9827752</v>
      </c>
      <c r="E81" s="54">
        <f>'Insurance Premium Tax'!I71</f>
        <v>77075525.659999996</v>
      </c>
      <c r="F81" s="54">
        <f>'Oil &amp; Gas Conservation Fee'!B21</f>
        <v>1049293</v>
      </c>
      <c r="G81" s="54">
        <f>'Mining, Oil &amp; Gas Severance'!B66</f>
        <v>13382269.629999999</v>
      </c>
      <c r="H81" s="54"/>
      <c r="I81" s="219">
        <f t="shared" si="1"/>
        <v>151794282.28999999</v>
      </c>
    </row>
    <row r="82" spans="1:9">
      <c r="A82" s="213">
        <v>2000</v>
      </c>
      <c r="B82" s="60">
        <f>'Cigarette  and Tobacco Taxes'!D82</f>
        <v>44091793</v>
      </c>
      <c r="C82" s="60">
        <f>'Cigarette  and Tobacco Taxes'!I82</f>
        <v>4161937</v>
      </c>
      <c r="D82" s="60">
        <f>'Beer Tax'!E70</f>
        <v>10023004</v>
      </c>
      <c r="E82" s="60">
        <f>'Insurance Premium Tax'!I72</f>
        <v>88638529.479999989</v>
      </c>
      <c r="F82" s="60">
        <f>'Oil &amp; Gas Conservation Fee'!B22</f>
        <v>1204200</v>
      </c>
      <c r="G82" s="60">
        <f>'Mining, Oil &amp; Gas Severance'!B67</f>
        <v>24237190</v>
      </c>
      <c r="H82" s="60"/>
      <c r="I82" s="220">
        <f t="shared" si="1"/>
        <v>172356653.47999999</v>
      </c>
    </row>
    <row r="83" spans="1:9">
      <c r="A83" s="212">
        <v>2001</v>
      </c>
      <c r="B83" s="54">
        <f>'Cigarette  and Tobacco Taxes'!D83</f>
        <v>43109511</v>
      </c>
      <c r="C83" s="54">
        <f>'Cigarette  and Tobacco Taxes'!I83</f>
        <v>4729248</v>
      </c>
      <c r="D83" s="54">
        <f>'Beer Tax'!E71</f>
        <v>10320329</v>
      </c>
      <c r="E83" s="54">
        <f>'Insurance Premium Tax'!I73</f>
        <v>83408112.649999991</v>
      </c>
      <c r="F83" s="54">
        <f>'Oil &amp; Gas Conservation Fee'!B23</f>
        <v>2748318</v>
      </c>
      <c r="G83" s="54">
        <f>'Mining, Oil &amp; Gas Severance'!B68</f>
        <v>48892100</v>
      </c>
      <c r="H83" s="54"/>
      <c r="I83" s="219">
        <f t="shared" si="1"/>
        <v>193207618.64999998</v>
      </c>
    </row>
    <row r="84" spans="1:9">
      <c r="A84" s="212">
        <v>2002</v>
      </c>
      <c r="B84" s="54">
        <f>'Cigarette  and Tobacco Taxes'!D84</f>
        <v>45939385</v>
      </c>
      <c r="C84" s="54">
        <f>'Cigarette  and Tobacco Taxes'!I84</f>
        <v>5055002</v>
      </c>
      <c r="D84" s="54">
        <f>'Beer Tax'!E72</f>
        <v>10470264</v>
      </c>
      <c r="E84" s="54">
        <f>'Insurance Premium Tax'!I74</f>
        <v>97736424.090000004</v>
      </c>
      <c r="F84" s="54">
        <f>'Oil &amp; Gas Conservation Fee'!B24</f>
        <v>1710219</v>
      </c>
      <c r="G84" s="54">
        <f>'Mining, Oil &amp; Gas Severance'!B69</f>
        <v>27545817</v>
      </c>
      <c r="H84" s="54"/>
      <c r="I84" s="219">
        <f t="shared" si="1"/>
        <v>188457111.09</v>
      </c>
    </row>
    <row r="85" spans="1:9">
      <c r="A85" s="121">
        <v>2003</v>
      </c>
      <c r="B85" s="54">
        <f>'Cigarette  and Tobacco Taxes'!D85</f>
        <v>46514400</v>
      </c>
      <c r="C85" s="54">
        <f>'Cigarette  and Tobacco Taxes'!I85</f>
        <v>5318467</v>
      </c>
      <c r="D85" s="54">
        <f>'Beer Tax'!E73</f>
        <v>10356639</v>
      </c>
      <c r="E85" s="54">
        <f>'Insurance Premium Tax'!I75</f>
        <v>110018261.73999999</v>
      </c>
      <c r="F85" s="54">
        <f>'Oil &amp; Gas Conservation Fee'!B25</f>
        <v>1943755</v>
      </c>
      <c r="G85" s="54">
        <f>'Mining, Oil &amp; Gas Severance'!B70</f>
        <v>35204751</v>
      </c>
      <c r="H85" s="54"/>
      <c r="I85" s="219">
        <f t="shared" si="1"/>
        <v>209356273.74000001</v>
      </c>
    </row>
    <row r="86" spans="1:9">
      <c r="A86" s="212">
        <v>2004</v>
      </c>
      <c r="B86" s="54">
        <f>'Cigarette  and Tobacco Taxes'!D86</f>
        <v>55872618</v>
      </c>
      <c r="C86" s="54">
        <f>'Cigarette  and Tobacco Taxes'!I86</f>
        <v>5790075</v>
      </c>
      <c r="D86" s="54">
        <f>'Beer Tax'!E74</f>
        <v>11893144</v>
      </c>
      <c r="E86" s="54">
        <f>'Insurance Premium Tax'!I76</f>
        <v>117298627.67</v>
      </c>
      <c r="F86" s="54">
        <f>'Oil &amp; Gas Conservation Fee'!B26</f>
        <v>2696250</v>
      </c>
      <c r="G86" s="54">
        <f>'Mining, Oil &amp; Gas Severance'!B71</f>
        <v>46902337</v>
      </c>
      <c r="H86" s="54"/>
      <c r="I86" s="219">
        <f t="shared" si="1"/>
        <v>240453051.67000002</v>
      </c>
    </row>
    <row r="87" spans="1:9">
      <c r="A87" s="213">
        <v>2005</v>
      </c>
      <c r="B87" s="60">
        <f>'Cigarette  and Tobacco Taxes'!D87</f>
        <v>54923019</v>
      </c>
      <c r="C87" s="60">
        <f>'Cigarette  and Tobacco Taxes'!I87</f>
        <v>6510897</v>
      </c>
      <c r="D87" s="60">
        <f>'Beer Tax'!E75</f>
        <v>12052052</v>
      </c>
      <c r="E87" s="60">
        <f>'Insurance Premium Tax'!I77</f>
        <v>132109220.92</v>
      </c>
      <c r="F87" s="60">
        <f>'Oil &amp; Gas Conservation Fee'!B27</f>
        <v>3631963</v>
      </c>
      <c r="G87" s="60">
        <f>'Mining, Oil &amp; Gas Severance'!B72</f>
        <v>69383176</v>
      </c>
      <c r="H87" s="60">
        <f>'Multi Channel Tax'!B4</f>
        <v>11652345.980000002</v>
      </c>
      <c r="I87" s="220">
        <f t="shared" si="1"/>
        <v>290262673.90000004</v>
      </c>
    </row>
    <row r="88" spans="1:9">
      <c r="A88" s="212">
        <v>2006</v>
      </c>
      <c r="B88" s="54">
        <f>'Cigarette  and Tobacco Taxes'!D88</f>
        <v>53536256</v>
      </c>
      <c r="C88" s="54">
        <f>'Cigarette  and Tobacco Taxes'!I88</f>
        <v>6763963</v>
      </c>
      <c r="D88" s="54">
        <f>'Beer Tax'!E76</f>
        <v>12461969</v>
      </c>
      <c r="E88" s="54">
        <f>'Insurance Premium Tax'!I78</f>
        <v>132079298.22</v>
      </c>
      <c r="F88" s="54">
        <f>'Oil &amp; Gas Conservation Fee'!B28</f>
        <v>5560449</v>
      </c>
      <c r="G88" s="54">
        <f>'Mining, Oil &amp; Gas Severance'!B73</f>
        <v>93544743</v>
      </c>
      <c r="H88" s="54">
        <f>'Multi Channel Tax'!B5</f>
        <v>20479029.920000002</v>
      </c>
      <c r="I88" s="219">
        <f t="shared" si="1"/>
        <v>324425708.14000005</v>
      </c>
    </row>
    <row r="89" spans="1:9">
      <c r="A89" s="212">
        <v>2007</v>
      </c>
      <c r="B89" s="208">
        <f>'Cigarette  and Tobacco Taxes'!D89</f>
        <v>55158637</v>
      </c>
      <c r="C89" s="208">
        <f>'Cigarette  and Tobacco Taxes'!I89</f>
        <v>7314289</v>
      </c>
      <c r="D89" s="208">
        <f>'Beer Tax'!E77</f>
        <v>12937477</v>
      </c>
      <c r="E89" s="208">
        <f>'Insurance Premium Tax'!I79</f>
        <v>136163202.14999998</v>
      </c>
      <c r="F89" s="208">
        <f>'Oil &amp; Gas Conservation Fee'!B29</f>
        <v>4747883</v>
      </c>
      <c r="G89" s="208">
        <f>'Mining, Oil &amp; Gas Severance'!B74</f>
        <v>96034372</v>
      </c>
      <c r="H89" s="54">
        <f>'Multi Channel Tax'!B6</f>
        <v>20827704.66</v>
      </c>
      <c r="I89" s="219">
        <f t="shared" si="1"/>
        <v>333183564.81</v>
      </c>
    </row>
    <row r="90" spans="1:9">
      <c r="A90" s="212">
        <v>2008</v>
      </c>
      <c r="B90" s="208">
        <f>'Cigarette  and Tobacco Taxes'!D90</f>
        <v>54388888</v>
      </c>
      <c r="C90" s="208">
        <f>'Cigarette  and Tobacco Taxes'!I90</f>
        <v>7857435</v>
      </c>
      <c r="D90" s="208">
        <f>'Beer Tax'!E78</f>
        <v>14055117</v>
      </c>
      <c r="E90" s="208">
        <f>'Insurance Premium Tax'!I80</f>
        <v>146068819.10999998</v>
      </c>
      <c r="F90" s="208">
        <f>'Oil &amp; Gas Conservation Fee'!B30</f>
        <v>5408934</v>
      </c>
      <c r="G90" s="208">
        <f>'Mining, Oil &amp; Gas Severance'!B75</f>
        <v>100044218</v>
      </c>
      <c r="H90" s="54">
        <f>'Multi Channel Tax'!B7</f>
        <v>24063007.739999998</v>
      </c>
      <c r="I90" s="219">
        <f t="shared" si="1"/>
        <v>351886418.85000002</v>
      </c>
    </row>
    <row r="91" spans="1:9">
      <c r="A91" s="212">
        <v>2009</v>
      </c>
      <c r="B91" s="208">
        <f>'Cigarette  and Tobacco Taxes'!D91</f>
        <v>51570477</v>
      </c>
      <c r="C91" s="208">
        <f>'Cigarette  and Tobacco Taxes'!I91</f>
        <v>8252165</v>
      </c>
      <c r="D91" s="208">
        <f>'Beer Tax'!E79</f>
        <v>13992979</v>
      </c>
      <c r="E91" s="208">
        <f>'Insurance Premium Tax'!I81</f>
        <v>147919131.14000002</v>
      </c>
      <c r="F91" s="208">
        <f>'Oil &amp; Gas Conservation Fee'!B31</f>
        <v>6835191</v>
      </c>
      <c r="G91" s="208">
        <f>'Mining, Oil &amp; Gas Severance'!B76</f>
        <v>117498131</v>
      </c>
      <c r="H91" s="54">
        <f>'Multi Channel Tax'!B8</f>
        <v>24775969.289999999</v>
      </c>
      <c r="I91" s="219">
        <f t="shared" si="1"/>
        <v>370844043.43000001</v>
      </c>
    </row>
    <row r="92" spans="1:9">
      <c r="A92" s="213">
        <v>2010</v>
      </c>
      <c r="B92" s="209">
        <f>'Cigarette  and Tobacco Taxes'!D92</f>
        <v>49880937</v>
      </c>
      <c r="C92" s="209">
        <f>'Cigarette  and Tobacco Taxes'!I92</f>
        <v>8795539</v>
      </c>
      <c r="D92" s="209">
        <f>'Beer Tax'!E80</f>
        <v>13347227</v>
      </c>
      <c r="E92" s="209">
        <f>'Insurance Premium Tax'!I82</f>
        <v>121635453.22999999</v>
      </c>
      <c r="F92" s="209">
        <f>'Oil &amp; Gas Conservation Fee'!B32</f>
        <v>4191039</v>
      </c>
      <c r="G92" s="209">
        <f>'Mining, Oil &amp; Gas Severance'!B77</f>
        <v>84226878</v>
      </c>
      <c r="H92" s="60">
        <f>'Multi Channel Tax'!B9</f>
        <v>25281300.759999998</v>
      </c>
      <c r="I92" s="220">
        <f t="shared" si="1"/>
        <v>307358373.99000001</v>
      </c>
    </row>
    <row r="93" spans="1:9">
      <c r="A93" s="214">
        <v>2011</v>
      </c>
      <c r="B93" s="54">
        <f>'Cigarette  and Tobacco Taxes'!D93</f>
        <v>105295235</v>
      </c>
      <c r="C93" s="54">
        <f>'Cigarette  and Tobacco Taxes'!I93</f>
        <v>19081834</v>
      </c>
      <c r="D93" s="54">
        <f>'Beer Tax'!E81</f>
        <v>12870793</v>
      </c>
      <c r="E93" s="54">
        <f>'Insurance Premium Tax'!I83</f>
        <v>111969925.68000001</v>
      </c>
      <c r="F93" s="54">
        <f>'Oil &amp; Gas Conservation Fee'!B33</f>
        <v>5784545</v>
      </c>
      <c r="G93" s="54">
        <f>'Mining, Oil &amp; Gas Severance'!B78</f>
        <v>94964481</v>
      </c>
      <c r="H93" s="54">
        <f>'Multi Channel Tax'!B10</f>
        <v>25362422.759999998</v>
      </c>
      <c r="I93" s="219">
        <f t="shared" si="1"/>
        <v>375329236.44</v>
      </c>
    </row>
    <row r="94" spans="1:9">
      <c r="A94" s="214">
        <v>2012</v>
      </c>
      <c r="B94" s="54">
        <f>'Cigarette  and Tobacco Taxes'!D94</f>
        <v>103628107</v>
      </c>
      <c r="C94" s="54">
        <f>'Cigarette  and Tobacco Taxes'!I94</f>
        <v>20153601</v>
      </c>
      <c r="D94" s="54">
        <f>'Beer Tax'!E82</f>
        <v>13734352</v>
      </c>
      <c r="E94" s="54">
        <f>'Insurance Premium Tax'!I84</f>
        <v>121022179.24000001</v>
      </c>
      <c r="F94" s="54">
        <f>'Oil &amp; Gas Conservation Fee'!B34</f>
        <v>6432953</v>
      </c>
      <c r="G94" s="54">
        <f>'Mining, Oil &amp; Gas Severance'!B79</f>
        <v>99759378</v>
      </c>
      <c r="H94" s="54">
        <f>'Multi Channel Tax'!B11</f>
        <v>28669503.629999999</v>
      </c>
      <c r="I94" s="219">
        <f t="shared" si="1"/>
        <v>393400073.87</v>
      </c>
    </row>
    <row r="95" spans="1:9">
      <c r="A95" s="212">
        <v>2013</v>
      </c>
      <c r="B95" s="215">
        <f>'Cigarette  and Tobacco Taxes'!D95</f>
        <v>100407080</v>
      </c>
      <c r="C95" s="215">
        <f>'Cigarette  and Tobacco Taxes'!I95</f>
        <v>19981965</v>
      </c>
      <c r="D95" s="215">
        <f>'Beer Tax'!E83</f>
        <v>13540804</v>
      </c>
      <c r="E95" s="215">
        <f>'Insurance Premium Tax'!I85</f>
        <v>125306629.16</v>
      </c>
      <c r="F95" s="215">
        <f>'Oil &amp; Gas Conservation Fee'!B35</f>
        <v>5870532</v>
      </c>
      <c r="G95" s="215">
        <f>'Mining, Oil &amp; Gas Severance'!B80</f>
        <v>79023320</v>
      </c>
      <c r="H95" s="215">
        <f>'Multi Channel Tax'!B12</f>
        <v>26929691.66</v>
      </c>
      <c r="I95" s="307">
        <f t="shared" si="1"/>
        <v>371060021.81999999</v>
      </c>
    </row>
    <row r="96" spans="1:9">
      <c r="A96" s="55">
        <v>2014</v>
      </c>
      <c r="B96" s="54">
        <f>'Cigarette  and Tobacco Taxes'!D96</f>
        <v>92307578</v>
      </c>
      <c r="C96" s="54">
        <f>'Cigarette  and Tobacco Taxes'!I96</f>
        <v>20676427</v>
      </c>
      <c r="D96" s="54">
        <f>'Beer Tax'!E84</f>
        <v>13554637</v>
      </c>
      <c r="E96" s="54">
        <f>'Insurance Premium Tax'!I86</f>
        <v>130739977.5</v>
      </c>
      <c r="F96" s="54">
        <f>'Oil &amp; Gas Conservation Fee'!B36</f>
        <v>7821433</v>
      </c>
      <c r="G96" s="54">
        <f>'Mining, Oil &amp; Gas Severance'!B81</f>
        <v>114356692</v>
      </c>
      <c r="H96" s="54">
        <f>'Multi Channel Tax'!B13</f>
        <v>25987490.419999998</v>
      </c>
      <c r="I96" s="219">
        <f t="shared" si="1"/>
        <v>405444234.92000002</v>
      </c>
    </row>
    <row r="97" spans="1:9">
      <c r="A97" s="55">
        <v>2015</v>
      </c>
      <c r="B97" s="54">
        <f>'Cigarette  and Tobacco Taxes'!D97</f>
        <v>95371197</v>
      </c>
      <c r="C97" s="54">
        <f>'Cigarette  and Tobacco Taxes'!I97</f>
        <v>20290161</v>
      </c>
      <c r="D97" s="54">
        <f>'Beer Tax'!E85</f>
        <v>13590936</v>
      </c>
      <c r="E97" s="54">
        <f>'Insurance Premium Tax'!I87</f>
        <v>139306974.64000002</v>
      </c>
      <c r="F97" s="54">
        <f>'Oil &amp; Gas Conservation Fee'!B37</f>
        <v>6727949</v>
      </c>
      <c r="G97" s="54">
        <f>'Mining, Oil &amp; Gas Severance'!B82</f>
        <v>95355351</v>
      </c>
      <c r="H97" s="54">
        <f>'Multi Channel Tax'!B14</f>
        <v>28447045.869999997</v>
      </c>
      <c r="I97" s="219">
        <f t="shared" si="1"/>
        <v>399089614.50999999</v>
      </c>
    </row>
    <row r="98" spans="1:9">
      <c r="A98" s="68">
        <v>2016</v>
      </c>
      <c r="B98" s="130">
        <f>'Cigarette  and Tobacco Taxes'!D98</f>
        <v>95880329</v>
      </c>
      <c r="C98" s="130">
        <f>'Cigarette  and Tobacco Taxes'!I98</f>
        <v>21720443</v>
      </c>
      <c r="D98" s="130">
        <f>'Beer Tax'!E86</f>
        <v>14068315</v>
      </c>
      <c r="E98" s="130">
        <f>'Insurance Premium Tax'!I88</f>
        <v>149588300.5</v>
      </c>
      <c r="F98" s="130">
        <f>'Oil &amp; Gas Conservation Fee'!B38</f>
        <v>3121286</v>
      </c>
      <c r="G98" s="130">
        <f>'Mining, Oil &amp; Gas Severance'!B83</f>
        <v>33949315</v>
      </c>
      <c r="H98" s="130">
        <f>'Multi Channel Tax'!B15</f>
        <v>28613776.640000004</v>
      </c>
      <c r="I98" s="308">
        <f t="shared" si="1"/>
        <v>346941765.13999999</v>
      </c>
    </row>
    <row r="99" spans="1:9">
      <c r="A99" s="55">
        <v>2017</v>
      </c>
      <c r="B99" s="54">
        <f>'Cigarette  and Tobacco Taxes'!D99</f>
        <v>93470535</v>
      </c>
      <c r="C99" s="54">
        <f>'Cigarette  and Tobacco Taxes'!I99</f>
        <v>21438873</v>
      </c>
      <c r="D99" s="54">
        <f>'Beer Tax'!E87</f>
        <v>14715108</v>
      </c>
      <c r="E99" s="54">
        <f>'Insurance Premium Tax'!I89</f>
        <v>153278688.16</v>
      </c>
      <c r="F99" s="54">
        <f>'Oil &amp; Gas Conservation Fee'!B39</f>
        <v>3337883</v>
      </c>
      <c r="G99" s="54">
        <f>'Mining, Oil &amp; Gas Severance'!B84</f>
        <v>26250222</v>
      </c>
      <c r="H99" s="54">
        <f>'Multi Channel Tax'!B16</f>
        <v>31292863.339999996</v>
      </c>
      <c r="I99" s="219">
        <f t="shared" si="1"/>
        <v>343784172.49999994</v>
      </c>
    </row>
    <row r="100" spans="1:9">
      <c r="A100" s="55">
        <v>2018</v>
      </c>
      <c r="B100" s="54">
        <f>'Cigarette  and Tobacco Taxes'!D100</f>
        <v>89648009</v>
      </c>
      <c r="C100" s="54">
        <f>'Cigarette  and Tobacco Taxes'!I100</f>
        <v>22029132</v>
      </c>
      <c r="D100" s="54">
        <f>'Beer Tax'!E88</f>
        <v>14018070</v>
      </c>
      <c r="E100" s="54">
        <f>'Insurance Premium Tax'!I90</f>
        <v>161576659</v>
      </c>
      <c r="F100" s="54">
        <f>'Oil &amp; Gas Conservation Fee'!B40</f>
        <v>3467648</v>
      </c>
      <c r="G100" s="54">
        <f>'Mining, Oil &amp; Gas Severance'!B85</f>
        <v>38234061</v>
      </c>
      <c r="H100" s="54">
        <f>'Multi Channel Tax'!B17</f>
        <v>29323748.550000004</v>
      </c>
      <c r="I100" s="219">
        <f t="shared" si="1"/>
        <v>358297327.55000001</v>
      </c>
    </row>
    <row r="101" spans="1:9">
      <c r="A101" s="55">
        <v>2019</v>
      </c>
      <c r="B101" s="54">
        <f>'Cigarette  and Tobacco Taxes'!D101</f>
        <v>84157715</v>
      </c>
      <c r="C101" s="54">
        <f>'Cigarette  and Tobacco Taxes'!I101</f>
        <v>21483265</v>
      </c>
      <c r="D101" s="54">
        <f>'Beer Tax'!E89</f>
        <v>14203312</v>
      </c>
      <c r="E101" s="54">
        <f>'Insurance Premium Tax'!I91</f>
        <v>171997967</v>
      </c>
      <c r="F101" s="54">
        <f>'Oil &amp; Gas Conservation Fee'!B41</f>
        <v>4524169</v>
      </c>
      <c r="G101" s="54">
        <f>'Mining, Oil &amp; Gas Severance'!B86</f>
        <v>40609629</v>
      </c>
      <c r="H101" s="54">
        <f>'Multi Channel Tax'!B18</f>
        <v>28238296.16</v>
      </c>
      <c r="I101" s="219">
        <f t="shared" si="1"/>
        <v>365214353.16000003</v>
      </c>
    </row>
    <row r="102" spans="1:9">
      <c r="A102" s="55">
        <v>2020</v>
      </c>
      <c r="B102" s="54">
        <f>'Cigarette  and Tobacco Taxes'!D102</f>
        <v>84843627.290000021</v>
      </c>
      <c r="C102" s="54">
        <f>'Cigarette  and Tobacco Taxes'!I102</f>
        <v>21181398.810000002</v>
      </c>
      <c r="D102" s="54">
        <f>'Beer Tax'!E90</f>
        <v>15987392.32</v>
      </c>
      <c r="E102" s="54">
        <f>'Insurance Premium Tax'!I92</f>
        <v>169833962.51000002</v>
      </c>
      <c r="F102" s="54">
        <f>'Oil &amp; Gas Conservation Fee'!B42</f>
        <v>3663583.4500000007</v>
      </c>
      <c r="G102" s="54">
        <f>'Mining, Oil &amp; Gas Severance'!B87</f>
        <v>47545926.61999999</v>
      </c>
      <c r="H102" s="54">
        <f>'Multi Channel Tax'!B19</f>
        <v>28366873.829999998</v>
      </c>
      <c r="I102" s="219">
        <f t="shared" si="1"/>
        <v>371422764.83000004</v>
      </c>
    </row>
    <row r="103" spans="1:9">
      <c r="A103" s="68">
        <v>2021</v>
      </c>
      <c r="B103" s="130">
        <f>'Cigarette  and Tobacco Taxes'!D103</f>
        <v>78539142.379999995</v>
      </c>
      <c r="C103" s="130">
        <f>'Cigarette  and Tobacco Taxes'!I103</f>
        <v>20662181.789999999</v>
      </c>
      <c r="D103" s="130">
        <f>'Beer Tax'!E91</f>
        <v>17880107.579999998</v>
      </c>
      <c r="E103" s="130">
        <f>'Insurance Premium Tax'!I93</f>
        <v>183557848.57000002</v>
      </c>
      <c r="F103" s="130">
        <f>'Oil &amp; Gas Conservation Fee'!B43</f>
        <v>2654179.4799999995</v>
      </c>
      <c r="G103" s="130">
        <f>'Mining, Oil &amp; Gas Severance'!B88</f>
        <v>33076124.160000004</v>
      </c>
      <c r="H103" s="130">
        <f>'Multi Channel Tax'!B20</f>
        <v>26699366.009999998</v>
      </c>
      <c r="I103" s="308">
        <f>SUM(B103:H103)</f>
        <v>363068949.97000003</v>
      </c>
    </row>
    <row r="104" spans="1:9">
      <c r="A104" s="55">
        <v>2022</v>
      </c>
      <c r="B104" s="54">
        <f>'Cigarette  and Tobacco Taxes'!D104</f>
        <v>74992668.639999986</v>
      </c>
      <c r="C104" s="54">
        <f>'Cigarette  and Tobacco Taxes'!I104</f>
        <v>20887856.199999996</v>
      </c>
      <c r="D104" s="54">
        <f>'Beer Tax'!E92</f>
        <v>18394381.380000003</v>
      </c>
      <c r="E104" s="54">
        <f>'Insurance Premium Tax'!I94</f>
        <v>202478863.72</v>
      </c>
      <c r="F104" s="54">
        <f>'Oil &amp; Gas Conservation Fee'!B44</f>
        <v>6182810.1600000001</v>
      </c>
      <c r="G104" s="54">
        <f>'Mining, Oil &amp; Gas Severance'!B89</f>
        <v>91210089.299999982</v>
      </c>
      <c r="H104" s="54">
        <f>'Multi Channel Tax'!B21</f>
        <v>27620440.139999997</v>
      </c>
      <c r="I104" s="219">
        <f t="shared" ref="I104:I107" si="2">SUM(B104:H104)</f>
        <v>441767109.53999996</v>
      </c>
    </row>
    <row r="105" spans="1:9">
      <c r="A105" s="55">
        <v>2023</v>
      </c>
      <c r="B105" s="346">
        <f>'Cigarette  and Tobacco Taxes'!D105</f>
        <v>71125417</v>
      </c>
      <c r="C105" s="346">
        <f>'Cigarette  and Tobacco Taxes'!I105</f>
        <v>19721746</v>
      </c>
      <c r="D105" s="346">
        <f>'Beer Tax'!E93</f>
        <v>18555425</v>
      </c>
      <c r="E105" s="54">
        <f>'Insurance Premium Tax'!I95</f>
        <v>217261439.92999998</v>
      </c>
      <c r="F105" s="54">
        <f>'Oil &amp; Gas Conservation Fee'!B45</f>
        <v>10379194</v>
      </c>
      <c r="G105" s="54">
        <f>'Mining, Oil &amp; Gas Severance'!B90</f>
        <v>128947838</v>
      </c>
      <c r="H105" s="54">
        <f>'Multi Channel Tax'!B22</f>
        <v>24011857.349999994</v>
      </c>
      <c r="I105" s="219">
        <f t="shared" si="2"/>
        <v>490002917.27999997</v>
      </c>
    </row>
    <row r="106" spans="1:9">
      <c r="A106" s="55">
        <v>2024</v>
      </c>
      <c r="B106" s="346">
        <f>'Cigarette  and Tobacco Taxes'!D106</f>
        <v>65255019.000000007</v>
      </c>
      <c r="C106" s="346">
        <f>'Cigarette  and Tobacco Taxes'!I106</f>
        <v>21309323.559999999</v>
      </c>
      <c r="D106" s="346">
        <f>'Beer Tax'!E94</f>
        <v>18625083.009999998</v>
      </c>
      <c r="E106" s="54">
        <f>'Insurance Premium Tax'!I96</f>
        <v>237721622.14000002</v>
      </c>
      <c r="F106" s="54">
        <f>'Oil &amp; Gas Conservation Fee'!B46</f>
        <v>7764995.6800000006</v>
      </c>
      <c r="G106" s="54">
        <f>'Mining, Oil &amp; Gas Severance'!B91</f>
        <v>87986234.099999994</v>
      </c>
      <c r="H106" s="54">
        <f>'Multi Channel Tax'!B23</f>
        <v>20599599.73</v>
      </c>
      <c r="I106" s="219">
        <f t="shared" si="2"/>
        <v>459261877.22000003</v>
      </c>
    </row>
    <row r="107" spans="1:9" ht="13.5" thickBot="1">
      <c r="A107" s="314">
        <v>2025</v>
      </c>
      <c r="B107" s="359">
        <f>'Cigarette  and Tobacco Taxes'!D107</f>
        <v>57230007.450000003</v>
      </c>
      <c r="C107" s="359">
        <f>'Cigarette  and Tobacco Taxes'!I107</f>
        <v>20378002.270000003</v>
      </c>
      <c r="D107" s="359">
        <f>'Beer Tax'!E95</f>
        <v>18633985.600000005</v>
      </c>
      <c r="E107" s="322">
        <f>'Insurance Premium Tax'!I97</f>
        <v>264609277.00999999</v>
      </c>
      <c r="F107" s="322">
        <f>'Oil &amp; Gas Conservation Fee'!B47</f>
        <v>7827004.4100000011</v>
      </c>
      <c r="G107" s="322">
        <f>'Mining, Oil &amp; Gas Severance'!B92</f>
        <v>104137826.64999998</v>
      </c>
      <c r="H107" s="322">
        <f>'Multi Channel Tax'!B24</f>
        <v>19902368.710000001</v>
      </c>
      <c r="I107" s="360">
        <f t="shared" si="2"/>
        <v>492718472.09999996</v>
      </c>
    </row>
  </sheetData>
  <mergeCells count="2">
    <mergeCell ref="A1:I1"/>
    <mergeCell ref="B3:I3"/>
  </mergeCell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S113"/>
  <sheetViews>
    <sheetView showGridLines="0" zoomScaleNormal="100" workbookViewId="0">
      <pane ySplit="4" topLeftCell="A80" activePane="bottomLeft" state="frozen"/>
      <selection pane="bottomLeft" sqref="A1:R1"/>
    </sheetView>
  </sheetViews>
  <sheetFormatPr defaultColWidth="9.140625" defaultRowHeight="12.75"/>
  <cols>
    <col min="1" max="1" width="5.85546875" style="26" customWidth="1"/>
    <col min="2" max="2" width="14.85546875" style="25" customWidth="1"/>
    <col min="3" max="3" width="11.5703125" style="1" customWidth="1"/>
    <col min="4" max="4" width="8" style="1" customWidth="1"/>
    <col min="5" max="7" width="12.85546875" style="1" customWidth="1"/>
    <col min="8" max="8" width="12.7109375" style="1" customWidth="1"/>
    <col min="9" max="9" width="7.85546875" style="1" customWidth="1"/>
    <col min="10" max="10" width="7.5703125" style="1" customWidth="1"/>
    <col min="11" max="14" width="12.140625" style="1" customWidth="1"/>
    <col min="15" max="15" width="11" style="1" customWidth="1"/>
    <col min="16" max="16" width="7.85546875" style="1" customWidth="1"/>
    <col min="17" max="17" width="7.5703125" style="1" customWidth="1"/>
    <col min="18" max="18" width="13.42578125" style="1" bestFit="1" customWidth="1"/>
    <col min="19" max="19" width="11" style="1" customWidth="1"/>
    <col min="20" max="16384" width="9.140625" style="1"/>
  </cols>
  <sheetData>
    <row r="1" spans="1:18" ht="18.75">
      <c r="A1" s="470" t="s">
        <v>145</v>
      </c>
      <c r="B1" s="470"/>
      <c r="C1" s="470"/>
      <c r="D1" s="470"/>
      <c r="E1" s="470"/>
      <c r="F1" s="470"/>
      <c r="G1" s="470"/>
      <c r="H1" s="470"/>
      <c r="I1" s="470"/>
      <c r="J1" s="470"/>
      <c r="K1" s="470"/>
      <c r="L1" s="470"/>
      <c r="M1" s="470"/>
      <c r="N1" s="470"/>
      <c r="O1" s="470"/>
      <c r="P1" s="470"/>
      <c r="Q1" s="470"/>
      <c r="R1" s="470"/>
    </row>
    <row r="2" spans="1:18" ht="6" customHeight="1" thickBot="1">
      <c r="A2" s="452"/>
      <c r="B2" s="452"/>
      <c r="C2" s="452"/>
      <c r="D2" s="452"/>
      <c r="E2" s="452"/>
      <c r="F2" s="452"/>
      <c r="G2" s="452"/>
      <c r="H2" s="452"/>
      <c r="I2" s="452"/>
      <c r="J2" s="452"/>
      <c r="K2" s="452"/>
      <c r="L2" s="452"/>
      <c r="M2" s="452"/>
      <c r="N2" s="452"/>
      <c r="O2" s="452"/>
      <c r="P2" s="452"/>
      <c r="Q2" s="452"/>
      <c r="R2" s="452"/>
    </row>
    <row r="3" spans="1:18" ht="14.45" customHeight="1">
      <c r="A3" s="479" t="s">
        <v>32</v>
      </c>
      <c r="B3" s="474" t="s">
        <v>121</v>
      </c>
      <c r="C3" s="475"/>
      <c r="D3" s="478"/>
      <c r="E3" s="474" t="s">
        <v>117</v>
      </c>
      <c r="F3" s="475"/>
      <c r="G3" s="475"/>
      <c r="H3" s="475"/>
      <c r="I3" s="475"/>
      <c r="J3" s="476"/>
      <c r="K3" s="477" t="s">
        <v>118</v>
      </c>
      <c r="L3" s="475"/>
      <c r="M3" s="475"/>
      <c r="N3" s="475"/>
      <c r="O3" s="475"/>
      <c r="P3" s="475"/>
      <c r="Q3" s="476"/>
      <c r="R3" s="481" t="s">
        <v>3</v>
      </c>
    </row>
    <row r="4" spans="1:18" s="27" customFormat="1" ht="77.25" thickBot="1">
      <c r="A4" s="480"/>
      <c r="B4" s="199" t="s">
        <v>113</v>
      </c>
      <c r="C4" s="175" t="s">
        <v>33</v>
      </c>
      <c r="D4" s="230" t="s">
        <v>34</v>
      </c>
      <c r="E4" s="216" t="s">
        <v>115</v>
      </c>
      <c r="F4" s="123" t="s">
        <v>146</v>
      </c>
      <c r="G4" s="123" t="s">
        <v>116</v>
      </c>
      <c r="H4" s="175" t="s">
        <v>33</v>
      </c>
      <c r="I4" s="175" t="s">
        <v>34</v>
      </c>
      <c r="J4" s="183" t="s">
        <v>37</v>
      </c>
      <c r="K4" s="402" t="s">
        <v>123</v>
      </c>
      <c r="L4" s="175" t="s">
        <v>151</v>
      </c>
      <c r="M4" s="175" t="s">
        <v>124</v>
      </c>
      <c r="N4" s="175" t="s">
        <v>150</v>
      </c>
      <c r="O4" s="175" t="s">
        <v>33</v>
      </c>
      <c r="P4" s="175" t="s">
        <v>34</v>
      </c>
      <c r="Q4" s="183" t="s">
        <v>119</v>
      </c>
      <c r="R4" s="482"/>
    </row>
    <row r="5" spans="1:18">
      <c r="A5" s="273">
        <v>1938</v>
      </c>
      <c r="B5" s="264">
        <v>532003</v>
      </c>
      <c r="C5" s="265">
        <f>B5/'Pop &amp; CPI'!C11</f>
        <v>3694465.2777777775</v>
      </c>
      <c r="D5" s="403">
        <f>C5/'Pop &amp; CPI'!B11</f>
        <v>6.9970933291245787</v>
      </c>
      <c r="E5" s="266" t="s">
        <v>16</v>
      </c>
      <c r="F5" s="267"/>
      <c r="G5" s="267"/>
      <c r="H5" s="268"/>
      <c r="I5" s="268"/>
      <c r="J5" s="269">
        <v>1</v>
      </c>
      <c r="K5" s="277" t="s">
        <v>16</v>
      </c>
      <c r="L5" s="270"/>
      <c r="M5" s="270"/>
      <c r="N5" s="270"/>
      <c r="O5" s="268"/>
      <c r="P5" s="271"/>
      <c r="Q5" s="141">
        <v>1</v>
      </c>
      <c r="R5" s="283" t="s">
        <v>38</v>
      </c>
    </row>
    <row r="6" spans="1:18">
      <c r="A6" s="274">
        <v>1939</v>
      </c>
      <c r="B6" s="200">
        <v>327699</v>
      </c>
      <c r="C6" s="3">
        <f>B6/'Pop &amp; CPI'!C12</f>
        <v>2324106.3829787239</v>
      </c>
      <c r="D6" s="404">
        <f>C6/'Pop &amp; CPI'!B12</f>
        <v>4.280122252262843</v>
      </c>
      <c r="E6" s="184" t="s">
        <v>16</v>
      </c>
      <c r="F6" s="2"/>
      <c r="G6" s="2"/>
      <c r="H6" s="5"/>
      <c r="I6" s="5"/>
      <c r="J6" s="185">
        <v>1</v>
      </c>
      <c r="K6" s="278" t="s">
        <v>16</v>
      </c>
      <c r="L6" s="4"/>
      <c r="M6" s="4"/>
      <c r="N6" s="4"/>
      <c r="O6" s="5"/>
      <c r="P6" s="29"/>
      <c r="Q6" s="88">
        <v>1</v>
      </c>
      <c r="R6" s="284"/>
    </row>
    <row r="7" spans="1:18">
      <c r="A7" s="275">
        <v>1940</v>
      </c>
      <c r="B7" s="201">
        <v>483284</v>
      </c>
      <c r="C7" s="7">
        <f>B7/'Pop &amp; CPI'!C13</f>
        <v>3476863.3093525176</v>
      </c>
      <c r="D7" s="405">
        <f>C7/'Pop &amp; CPI'!B13</f>
        <v>6.4030631848112662</v>
      </c>
      <c r="E7" s="186" t="s">
        <v>16</v>
      </c>
      <c r="F7" s="6"/>
      <c r="G7" s="6"/>
      <c r="H7" s="9"/>
      <c r="I7" s="9"/>
      <c r="J7" s="187">
        <v>1</v>
      </c>
      <c r="K7" s="279" t="s">
        <v>16</v>
      </c>
      <c r="L7" s="8"/>
      <c r="M7" s="8"/>
      <c r="N7" s="8"/>
      <c r="O7" s="9"/>
      <c r="P7" s="30"/>
      <c r="Q7" s="90">
        <v>1</v>
      </c>
      <c r="R7" s="285"/>
    </row>
    <row r="8" spans="1:18">
      <c r="A8" s="274">
        <v>1941</v>
      </c>
      <c r="B8" s="200">
        <v>674650</v>
      </c>
      <c r="C8" s="3">
        <f>B8/'Pop &amp; CPI'!C14</f>
        <v>4818928.5714285709</v>
      </c>
      <c r="D8" s="404">
        <f>C8/'Pop &amp; CPI'!B14</f>
        <v>8.7331072334696831</v>
      </c>
      <c r="E8" s="184" t="s">
        <v>16</v>
      </c>
      <c r="F8" s="2"/>
      <c r="G8" s="2"/>
      <c r="H8" s="5"/>
      <c r="I8" s="5"/>
      <c r="J8" s="185">
        <v>1</v>
      </c>
      <c r="K8" s="278" t="s">
        <v>16</v>
      </c>
      <c r="L8" s="4"/>
      <c r="M8" s="4"/>
      <c r="N8" s="4"/>
      <c r="O8" s="5"/>
      <c r="P8" s="29"/>
      <c r="Q8" s="88">
        <v>1</v>
      </c>
      <c r="R8" s="286"/>
    </row>
    <row r="9" spans="1:18">
      <c r="A9" s="274">
        <v>1942</v>
      </c>
      <c r="B9" s="200">
        <v>789162</v>
      </c>
      <c r="C9" s="3">
        <f>B9/'Pop &amp; CPI'!C15</f>
        <v>5368448.9795918372</v>
      </c>
      <c r="D9" s="404">
        <f>C9/'Pop &amp; CPI'!B15</f>
        <v>9.7431015963554213</v>
      </c>
      <c r="E9" s="184" t="s">
        <v>16</v>
      </c>
      <c r="F9" s="2"/>
      <c r="G9" s="2"/>
      <c r="H9" s="5"/>
      <c r="I9" s="5"/>
      <c r="J9" s="185">
        <v>1</v>
      </c>
      <c r="K9" s="278" t="s">
        <v>16</v>
      </c>
      <c r="L9" s="4"/>
      <c r="M9" s="4"/>
      <c r="N9" s="4"/>
      <c r="O9" s="5"/>
      <c r="P9" s="29"/>
      <c r="Q9" s="88">
        <v>1</v>
      </c>
      <c r="R9" s="284"/>
    </row>
    <row r="10" spans="1:18">
      <c r="A10" s="274">
        <v>1943</v>
      </c>
      <c r="B10" s="200">
        <v>791193</v>
      </c>
      <c r="C10" s="3">
        <f>B10/'Pop &amp; CPI'!C16</f>
        <v>4853944.785276073</v>
      </c>
      <c r="D10" s="404">
        <f>C10/'Pop &amp; CPI'!B16</f>
        <v>8.4978024952312197</v>
      </c>
      <c r="E10" s="184" t="s">
        <v>16</v>
      </c>
      <c r="F10" s="2"/>
      <c r="G10" s="2"/>
      <c r="H10" s="5"/>
      <c r="I10" s="5"/>
      <c r="J10" s="185">
        <v>1</v>
      </c>
      <c r="K10" s="278" t="s">
        <v>16</v>
      </c>
      <c r="L10" s="4"/>
      <c r="M10" s="4"/>
      <c r="N10" s="4"/>
      <c r="O10" s="5"/>
      <c r="P10" s="29"/>
      <c r="Q10" s="88">
        <v>1</v>
      </c>
      <c r="R10" s="284"/>
    </row>
    <row r="11" spans="1:18">
      <c r="A11" s="274">
        <v>1944</v>
      </c>
      <c r="B11" s="200">
        <v>926442</v>
      </c>
      <c r="C11" s="3">
        <f>B11/'Pop &amp; CPI'!C17</f>
        <v>5355156.0693641612</v>
      </c>
      <c r="D11" s="404">
        <f>C11/'Pop &amp; CPI'!B17</f>
        <v>8.3674313583815021</v>
      </c>
      <c r="E11" s="184" t="s">
        <v>16</v>
      </c>
      <c r="F11" s="2"/>
      <c r="G11" s="2"/>
      <c r="H11" s="5"/>
      <c r="I11" s="5"/>
      <c r="J11" s="185">
        <v>1</v>
      </c>
      <c r="K11" s="278" t="s">
        <v>16</v>
      </c>
      <c r="L11" s="4"/>
      <c r="M11" s="4"/>
      <c r="N11" s="4"/>
      <c r="O11" s="5"/>
      <c r="P11" s="29"/>
      <c r="Q11" s="88">
        <v>1</v>
      </c>
      <c r="R11" s="284"/>
    </row>
    <row r="12" spans="1:18">
      <c r="A12" s="275">
        <v>1945</v>
      </c>
      <c r="B12" s="201">
        <v>857085</v>
      </c>
      <c r="C12" s="7">
        <f>B12/'Pop &amp; CPI'!C18</f>
        <v>4869801.1363636358</v>
      </c>
      <c r="D12" s="405">
        <f>C12/'Pop &amp; CPI'!B18</f>
        <v>8.0532514244478843</v>
      </c>
      <c r="E12" s="186" t="s">
        <v>16</v>
      </c>
      <c r="F12" s="6"/>
      <c r="G12" s="6"/>
      <c r="H12" s="9"/>
      <c r="I12" s="9"/>
      <c r="J12" s="187">
        <v>1</v>
      </c>
      <c r="K12" s="279" t="s">
        <v>16</v>
      </c>
      <c r="L12" s="8"/>
      <c r="M12" s="8"/>
      <c r="N12" s="8"/>
      <c r="O12" s="9"/>
      <c r="P12" s="30"/>
      <c r="Q12" s="90">
        <v>1</v>
      </c>
      <c r="R12" s="285"/>
    </row>
    <row r="13" spans="1:18">
      <c r="A13" s="274">
        <v>1946</v>
      </c>
      <c r="B13" s="200">
        <v>656827</v>
      </c>
      <c r="C13" s="3">
        <f>B13/'Pop &amp; CPI'!C19</f>
        <v>3649038.888888889</v>
      </c>
      <c r="D13" s="404">
        <f>C13/'Pop &amp; CPI'!B19</f>
        <v>6.1942605481053965</v>
      </c>
      <c r="E13" s="184" t="s">
        <v>16</v>
      </c>
      <c r="F13" s="2"/>
      <c r="G13" s="2"/>
      <c r="H13" s="5"/>
      <c r="I13" s="5"/>
      <c r="J13" s="185">
        <v>1</v>
      </c>
      <c r="K13" s="278" t="s">
        <v>16</v>
      </c>
      <c r="L13" s="4"/>
      <c r="M13" s="4"/>
      <c r="N13" s="4"/>
      <c r="O13" s="5"/>
      <c r="P13" s="5"/>
      <c r="Q13" s="142">
        <v>1</v>
      </c>
      <c r="R13" s="286"/>
    </row>
    <row r="14" spans="1:18">
      <c r="A14" s="274">
        <v>1947</v>
      </c>
      <c r="B14" s="200">
        <v>393226</v>
      </c>
      <c r="C14" s="3">
        <f>B14/'Pop &amp; CPI'!C20</f>
        <v>2016543.5897435897</v>
      </c>
      <c r="D14" s="404">
        <f>C14/'Pop &amp; CPI'!B20</f>
        <v>3.1607266296921468</v>
      </c>
      <c r="E14" s="184" t="s">
        <v>16</v>
      </c>
      <c r="F14" s="2"/>
      <c r="G14" s="2"/>
      <c r="H14" s="5"/>
      <c r="I14" s="5"/>
      <c r="J14" s="185">
        <v>1</v>
      </c>
      <c r="K14" s="278" t="s">
        <v>16</v>
      </c>
      <c r="L14" s="4"/>
      <c r="M14" s="4"/>
      <c r="N14" s="4"/>
      <c r="O14" s="5"/>
      <c r="P14" s="5"/>
      <c r="Q14" s="88">
        <v>1</v>
      </c>
      <c r="R14" s="284"/>
    </row>
    <row r="15" spans="1:18">
      <c r="A15" s="274">
        <v>1948</v>
      </c>
      <c r="B15" s="200">
        <v>1359141</v>
      </c>
      <c r="C15" s="3">
        <f>B15/'Pop &amp; CPI'!C21</f>
        <v>6094802.6905829599</v>
      </c>
      <c r="D15" s="404">
        <f>C15/'Pop &amp; CPI'!B21</f>
        <v>9.5830230984008811</v>
      </c>
      <c r="E15" s="184" t="s">
        <v>16</v>
      </c>
      <c r="F15" s="2"/>
      <c r="G15" s="2"/>
      <c r="H15" s="5"/>
      <c r="I15" s="5"/>
      <c r="J15" s="185">
        <v>1</v>
      </c>
      <c r="K15" s="278" t="s">
        <v>16</v>
      </c>
      <c r="L15" s="4"/>
      <c r="M15" s="4"/>
      <c r="N15" s="4"/>
      <c r="O15" s="5"/>
      <c r="P15" s="5"/>
      <c r="Q15" s="88">
        <v>1</v>
      </c>
      <c r="R15" s="284"/>
    </row>
    <row r="16" spans="1:18">
      <c r="A16" s="274">
        <v>1949</v>
      </c>
      <c r="B16" s="200">
        <v>1363820</v>
      </c>
      <c r="C16" s="3">
        <f>B16/'Pop &amp; CPI'!C22</f>
        <v>5659004.1493775928</v>
      </c>
      <c r="D16" s="404">
        <f>C16/'Pop &amp; CPI'!B22</f>
        <v>8.6661625564741076</v>
      </c>
      <c r="E16" s="184" t="s">
        <v>16</v>
      </c>
      <c r="F16" s="2"/>
      <c r="G16" s="2"/>
      <c r="H16" s="5"/>
      <c r="I16" s="5"/>
      <c r="J16" s="185">
        <v>1</v>
      </c>
      <c r="K16" s="278" t="s">
        <v>16</v>
      </c>
      <c r="L16" s="4"/>
      <c r="M16" s="4"/>
      <c r="N16" s="4"/>
      <c r="O16" s="5"/>
      <c r="P16" s="5"/>
      <c r="Q16" s="88">
        <v>1</v>
      </c>
      <c r="R16" s="284"/>
    </row>
    <row r="17" spans="1:18">
      <c r="A17" s="275">
        <v>1950</v>
      </c>
      <c r="B17" s="201">
        <v>866251</v>
      </c>
      <c r="C17" s="7">
        <f>B17/'Pop &amp; CPI'!C23</f>
        <v>3639710.0840336131</v>
      </c>
      <c r="D17" s="405">
        <f>C17/'Pop &amp; CPI'!B23</f>
        <v>5.4259243948026432</v>
      </c>
      <c r="E17" s="186" t="s">
        <v>16</v>
      </c>
      <c r="F17" s="6"/>
      <c r="G17" s="6"/>
      <c r="H17" s="9"/>
      <c r="I17" s="9"/>
      <c r="J17" s="187">
        <v>1</v>
      </c>
      <c r="K17" s="279" t="s">
        <v>16</v>
      </c>
      <c r="L17" s="8"/>
      <c r="M17" s="8"/>
      <c r="N17" s="8"/>
      <c r="O17" s="9"/>
      <c r="P17" s="9"/>
      <c r="Q17" s="90">
        <v>1</v>
      </c>
      <c r="R17" s="285"/>
    </row>
    <row r="18" spans="1:18">
      <c r="A18" s="274">
        <v>1951</v>
      </c>
      <c r="B18" s="200">
        <v>1422134</v>
      </c>
      <c r="C18" s="3">
        <f>B18/'Pop &amp; CPI'!C24</f>
        <v>5900970.9543568464</v>
      </c>
      <c r="D18" s="404">
        <f>C18/'Pop &amp; CPI'!B24</f>
        <v>8.4796248805242804</v>
      </c>
      <c r="E18" s="184" t="s">
        <v>16</v>
      </c>
      <c r="F18" s="2"/>
      <c r="G18" s="2"/>
      <c r="H18" s="5"/>
      <c r="I18" s="5"/>
      <c r="J18" s="185">
        <v>1</v>
      </c>
      <c r="K18" s="278" t="s">
        <v>16</v>
      </c>
      <c r="L18" s="4"/>
      <c r="M18" s="4"/>
      <c r="N18" s="4"/>
      <c r="O18" s="5"/>
      <c r="P18" s="5"/>
      <c r="Q18" s="142">
        <v>1</v>
      </c>
      <c r="R18" s="286"/>
    </row>
    <row r="19" spans="1:18">
      <c r="A19" s="274">
        <v>1952</v>
      </c>
      <c r="B19" s="200">
        <v>1731757</v>
      </c>
      <c r="C19" s="3">
        <f>B19/'Pop &amp; CPI'!C25</f>
        <v>6660603.846153846</v>
      </c>
      <c r="D19" s="404">
        <f>C19/'Pop &amp; CPI'!B25</f>
        <v>9.4329469567396202</v>
      </c>
      <c r="E19" s="184" t="s">
        <v>16</v>
      </c>
      <c r="F19" s="2"/>
      <c r="G19" s="2"/>
      <c r="H19" s="5"/>
      <c r="I19" s="5"/>
      <c r="J19" s="185">
        <v>1</v>
      </c>
      <c r="K19" s="278" t="s">
        <v>16</v>
      </c>
      <c r="L19" s="4"/>
      <c r="M19" s="4"/>
      <c r="N19" s="4"/>
      <c r="O19" s="5"/>
      <c r="P19" s="5"/>
      <c r="Q19" s="88">
        <v>1</v>
      </c>
      <c r="R19" s="284"/>
    </row>
    <row r="20" spans="1:18">
      <c r="A20" s="274">
        <v>1953</v>
      </c>
      <c r="B20" s="200">
        <v>1844481</v>
      </c>
      <c r="C20" s="3">
        <f>B20/'Pop &amp; CPI'!C26</f>
        <v>6960305.6603773581</v>
      </c>
      <c r="D20" s="404">
        <f>C20/'Pop &amp; CPI'!B26</f>
        <v>9.6136818513499414</v>
      </c>
      <c r="E20" s="184" t="s">
        <v>16</v>
      </c>
      <c r="F20" s="2"/>
      <c r="G20" s="2"/>
      <c r="H20" s="5"/>
      <c r="I20" s="5"/>
      <c r="J20" s="185">
        <v>1</v>
      </c>
      <c r="K20" s="278" t="s">
        <v>16</v>
      </c>
      <c r="L20" s="4"/>
      <c r="M20" s="4"/>
      <c r="N20" s="4"/>
      <c r="O20" s="5"/>
      <c r="P20" s="5"/>
      <c r="Q20" s="88">
        <v>1</v>
      </c>
      <c r="R20" s="284"/>
    </row>
    <row r="21" spans="1:18">
      <c r="A21" s="274">
        <v>1954</v>
      </c>
      <c r="B21" s="200">
        <v>2097689</v>
      </c>
      <c r="C21" s="3">
        <f>B21/'Pop &amp; CPI'!C27</f>
        <v>7856513.1086142315</v>
      </c>
      <c r="D21" s="404">
        <f>C21/'Pop &amp; CPI'!B27</f>
        <v>10.629837787328144</v>
      </c>
      <c r="E21" s="184" t="s">
        <v>16</v>
      </c>
      <c r="F21" s="2"/>
      <c r="G21" s="2"/>
      <c r="H21" s="5"/>
      <c r="I21" s="5"/>
      <c r="J21" s="185">
        <v>1</v>
      </c>
      <c r="K21" s="278" t="s">
        <v>16</v>
      </c>
      <c r="L21" s="4"/>
      <c r="M21" s="4"/>
      <c r="N21" s="4"/>
      <c r="O21" s="5"/>
      <c r="P21" s="5"/>
      <c r="Q21" s="88">
        <v>1</v>
      </c>
      <c r="R21" s="284"/>
    </row>
    <row r="22" spans="1:18">
      <c r="A22" s="275">
        <v>1955</v>
      </c>
      <c r="B22" s="201">
        <v>1760368</v>
      </c>
      <c r="C22" s="7">
        <f>B22/'Pop &amp; CPI'!C28</f>
        <v>6544118.9591078078</v>
      </c>
      <c r="D22" s="405">
        <f>C22/'Pop &amp; CPI'!B28</f>
        <v>8.719678826259571</v>
      </c>
      <c r="E22" s="186" t="s">
        <v>16</v>
      </c>
      <c r="F22" s="6"/>
      <c r="G22" s="6"/>
      <c r="H22" s="9"/>
      <c r="I22" s="9"/>
      <c r="J22" s="187">
        <v>1</v>
      </c>
      <c r="K22" s="279" t="s">
        <v>16</v>
      </c>
      <c r="L22" s="8"/>
      <c r="M22" s="8"/>
      <c r="N22" s="8"/>
      <c r="O22" s="9"/>
      <c r="P22" s="9"/>
      <c r="Q22" s="90">
        <v>1</v>
      </c>
      <c r="R22" s="285"/>
    </row>
    <row r="23" spans="1:18">
      <c r="A23" s="274">
        <v>1956</v>
      </c>
      <c r="B23" s="200">
        <v>2459673</v>
      </c>
      <c r="C23" s="3">
        <f>B23/'Pop &amp; CPI'!C29</f>
        <v>9177884.3283582088</v>
      </c>
      <c r="D23" s="404">
        <f>C23/'Pop &amp; CPI'!B29</f>
        <v>11.724430669849525</v>
      </c>
      <c r="E23" s="184" t="s">
        <v>16</v>
      </c>
      <c r="F23" s="2"/>
      <c r="G23" s="2"/>
      <c r="H23" s="5"/>
      <c r="I23" s="5"/>
      <c r="J23" s="185">
        <v>1</v>
      </c>
      <c r="K23" s="278" t="s">
        <v>16</v>
      </c>
      <c r="L23" s="4"/>
      <c r="M23" s="4"/>
      <c r="N23" s="4"/>
      <c r="O23" s="5"/>
      <c r="P23" s="5"/>
      <c r="Q23" s="142">
        <v>1</v>
      </c>
      <c r="R23" s="286"/>
    </row>
    <row r="24" spans="1:18">
      <c r="A24" s="274">
        <v>1957</v>
      </c>
      <c r="B24" s="200">
        <v>2766326</v>
      </c>
      <c r="C24" s="3">
        <f>B24/'Pop &amp; CPI'!C30</f>
        <v>10170316.176470587</v>
      </c>
      <c r="D24" s="404">
        <f>C24/'Pop &amp; CPI'!B30</f>
        <v>12.574574896724267</v>
      </c>
      <c r="E24" s="184" t="s">
        <v>16</v>
      </c>
      <c r="F24" s="2"/>
      <c r="G24" s="2"/>
      <c r="H24" s="5"/>
      <c r="I24" s="5"/>
      <c r="J24" s="185">
        <v>1</v>
      </c>
      <c r="K24" s="278" t="s">
        <v>16</v>
      </c>
      <c r="L24" s="4"/>
      <c r="M24" s="4"/>
      <c r="N24" s="4"/>
      <c r="O24" s="5"/>
      <c r="P24" s="5"/>
      <c r="Q24" s="88">
        <v>1</v>
      </c>
      <c r="R24" s="284"/>
    </row>
    <row r="25" spans="1:18">
      <c r="A25" s="274">
        <v>1958</v>
      </c>
      <c r="B25" s="200">
        <v>2230902</v>
      </c>
      <c r="C25" s="3">
        <f>B25/'Pop &amp; CPI'!C31</f>
        <v>7939153.0249110311</v>
      </c>
      <c r="D25" s="404">
        <f>C25/'Pop &amp; CPI'!B31</f>
        <v>9.6080757895571001</v>
      </c>
      <c r="E25" s="184" t="s">
        <v>16</v>
      </c>
      <c r="F25" s="2"/>
      <c r="G25" s="2"/>
      <c r="H25" s="5"/>
      <c r="I25" s="5"/>
      <c r="J25" s="185">
        <v>1</v>
      </c>
      <c r="K25" s="278" t="s">
        <v>16</v>
      </c>
      <c r="L25" s="4"/>
      <c r="M25" s="4"/>
      <c r="N25" s="4"/>
      <c r="O25" s="5"/>
      <c r="P25" s="5"/>
      <c r="Q25" s="88">
        <v>1</v>
      </c>
      <c r="R25" s="284"/>
    </row>
    <row r="26" spans="1:18">
      <c r="A26" s="274">
        <v>1959</v>
      </c>
      <c r="B26" s="200">
        <v>2395380</v>
      </c>
      <c r="C26" s="3">
        <f>B26/'Pop &amp; CPI'!C32</f>
        <v>8288512.1107266443</v>
      </c>
      <c r="D26" s="404">
        <f>C26/'Pop &amp; CPI'!B32</f>
        <v>9.8065689904479942</v>
      </c>
      <c r="E26" s="184" t="s">
        <v>16</v>
      </c>
      <c r="F26" s="2"/>
      <c r="G26" s="2"/>
      <c r="H26" s="5"/>
      <c r="I26" s="5"/>
      <c r="J26" s="185">
        <v>1</v>
      </c>
      <c r="K26" s="278" t="s">
        <v>16</v>
      </c>
      <c r="L26" s="4"/>
      <c r="M26" s="4"/>
      <c r="N26" s="4"/>
      <c r="O26" s="5"/>
      <c r="P26" s="5"/>
      <c r="Q26" s="88">
        <v>1</v>
      </c>
      <c r="R26" s="284"/>
    </row>
    <row r="27" spans="1:18">
      <c r="A27" s="275">
        <v>1960</v>
      </c>
      <c r="B27" s="201">
        <v>3664677</v>
      </c>
      <c r="C27" s="7">
        <f>B27/'Pop &amp; CPI'!C33</f>
        <v>12593391.752577318</v>
      </c>
      <c r="D27" s="405">
        <f>C27/'Pop &amp; CPI'!B33</f>
        <v>14.476826937093135</v>
      </c>
      <c r="E27" s="186" t="s">
        <v>16</v>
      </c>
      <c r="F27" s="6"/>
      <c r="G27" s="6"/>
      <c r="H27" s="9"/>
      <c r="I27" s="9"/>
      <c r="J27" s="187">
        <v>1</v>
      </c>
      <c r="K27" s="279" t="s">
        <v>16</v>
      </c>
      <c r="L27" s="8"/>
      <c r="M27" s="8"/>
      <c r="N27" s="8"/>
      <c r="O27" s="9"/>
      <c r="P27" s="9"/>
      <c r="Q27" s="90">
        <v>2</v>
      </c>
      <c r="R27" s="285" t="s">
        <v>39</v>
      </c>
    </row>
    <row r="28" spans="1:18">
      <c r="A28" s="274">
        <v>1961</v>
      </c>
      <c r="B28" s="200">
        <v>3601537</v>
      </c>
      <c r="C28" s="3">
        <f>B28/'Pop &amp; CPI'!C34</f>
        <v>12167354.729729729</v>
      </c>
      <c r="D28" s="404">
        <f>C28/'Pop &amp; CPI'!B34</f>
        <v>13.519283033033032</v>
      </c>
      <c r="E28" s="184" t="s">
        <v>16</v>
      </c>
      <c r="F28" s="2"/>
      <c r="G28" s="2"/>
      <c r="H28" s="5"/>
      <c r="I28" s="5"/>
      <c r="J28" s="185">
        <v>1</v>
      </c>
      <c r="K28" s="278" t="s">
        <v>16</v>
      </c>
      <c r="L28" s="4"/>
      <c r="M28" s="4"/>
      <c r="N28" s="4"/>
      <c r="O28" s="5"/>
      <c r="P28" s="5"/>
      <c r="Q28" s="142">
        <v>2</v>
      </c>
      <c r="R28" s="286"/>
    </row>
    <row r="29" spans="1:18">
      <c r="A29" s="274">
        <v>1962</v>
      </c>
      <c r="B29" s="200">
        <v>3497841</v>
      </c>
      <c r="C29" s="3">
        <f>B29/'Pop &amp; CPI'!C35</f>
        <v>11698464.882943144</v>
      </c>
      <c r="D29" s="404">
        <f>C29/'Pop &amp; CPI'!B35</f>
        <v>12.4983599176743</v>
      </c>
      <c r="E29" s="184" t="s">
        <v>16</v>
      </c>
      <c r="F29" s="2"/>
      <c r="G29" s="2"/>
      <c r="H29" s="5"/>
      <c r="I29" s="5"/>
      <c r="J29" s="185">
        <v>1</v>
      </c>
      <c r="K29" s="278" t="s">
        <v>16</v>
      </c>
      <c r="L29" s="4"/>
      <c r="M29" s="4"/>
      <c r="N29" s="4"/>
      <c r="O29" s="5"/>
      <c r="P29" s="5"/>
      <c r="Q29" s="88">
        <v>2</v>
      </c>
      <c r="R29" s="284"/>
    </row>
    <row r="30" spans="1:18">
      <c r="A30" s="274">
        <v>1963</v>
      </c>
      <c r="B30" s="200">
        <v>2476141</v>
      </c>
      <c r="C30" s="3">
        <f>B30/'Pop &amp; CPI'!C36</f>
        <v>8199142.3841059608</v>
      </c>
      <c r="D30" s="404">
        <f>C30/'Pop &amp; CPI'!B36</f>
        <v>8.5586037412379543</v>
      </c>
      <c r="E30" s="184" t="s">
        <v>16</v>
      </c>
      <c r="F30" s="2"/>
      <c r="G30" s="2"/>
      <c r="H30" s="5"/>
      <c r="I30" s="5"/>
      <c r="J30" s="185">
        <v>1</v>
      </c>
      <c r="K30" s="278" t="s">
        <v>16</v>
      </c>
      <c r="L30" s="4"/>
      <c r="M30" s="4"/>
      <c r="N30" s="4"/>
      <c r="O30" s="5"/>
      <c r="P30" s="5"/>
      <c r="Q30" s="88">
        <v>2</v>
      </c>
      <c r="R30" s="284"/>
    </row>
    <row r="31" spans="1:18">
      <c r="A31" s="274">
        <v>1964</v>
      </c>
      <c r="B31" s="200">
        <v>4005334</v>
      </c>
      <c r="C31" s="3">
        <f>B31/'Pop &amp; CPI'!C37</f>
        <v>13089326.797385622</v>
      </c>
      <c r="D31" s="404">
        <f>C31/'Pop &amp; CPI'!B37</f>
        <v>13.438733878219324</v>
      </c>
      <c r="E31" s="188">
        <v>1614348</v>
      </c>
      <c r="F31" s="2"/>
      <c r="G31" s="2">
        <f t="shared" ref="G31:G84" si="0">F31+E31</f>
        <v>1614348</v>
      </c>
      <c r="H31" s="10">
        <f>G31/'Pop &amp; CPI'!C37</f>
        <v>5275647.0588235296</v>
      </c>
      <c r="I31" s="11">
        <f>H31/'Pop &amp; CPI'!B37</f>
        <v>5.4164754197366838</v>
      </c>
      <c r="J31" s="189">
        <v>1</v>
      </c>
      <c r="K31" s="280">
        <v>1604540</v>
      </c>
      <c r="L31" s="10"/>
      <c r="M31" s="10"/>
      <c r="N31" s="10">
        <f t="shared" ref="N31:N84" si="1">M31+L31+K31</f>
        <v>1604540</v>
      </c>
      <c r="O31" s="10">
        <f>N31/'Pop &amp; CPI'!C37</f>
        <v>5243594.7712418297</v>
      </c>
      <c r="P31" s="12">
        <f>O31/'Pop &amp; CPI'!B37</f>
        <v>5.38356752694233</v>
      </c>
      <c r="Q31" s="88">
        <v>2</v>
      </c>
      <c r="R31" s="284" t="s">
        <v>40</v>
      </c>
    </row>
    <row r="32" spans="1:18">
      <c r="A32" s="275">
        <v>1965</v>
      </c>
      <c r="B32" s="201">
        <v>3084356</v>
      </c>
      <c r="C32" s="7">
        <f>B32/'Pop &amp; CPI'!C38</f>
        <v>9949535.4838709682</v>
      </c>
      <c r="D32" s="405">
        <f>C32/'Pop &amp; CPI'!B38</f>
        <v>10.173349165512237</v>
      </c>
      <c r="E32" s="190">
        <v>1735603</v>
      </c>
      <c r="F32" s="6"/>
      <c r="G32" s="6">
        <f>F32+E32</f>
        <v>1735603</v>
      </c>
      <c r="H32" s="13">
        <f>G32/'Pop &amp; CPI'!C38</f>
        <v>5598719.3548387093</v>
      </c>
      <c r="I32" s="14">
        <f>H32/'Pop &amp; CPI'!B38</f>
        <v>5.7246619170129955</v>
      </c>
      <c r="J32" s="191">
        <v>1</v>
      </c>
      <c r="K32" s="281">
        <v>1368804</v>
      </c>
      <c r="L32" s="13"/>
      <c r="M32" s="13"/>
      <c r="N32" s="13">
        <f t="shared" si="1"/>
        <v>1368804</v>
      </c>
      <c r="O32" s="13">
        <f>N32/'Pop &amp; CPI'!C38</f>
        <v>4415496.7741935486</v>
      </c>
      <c r="P32" s="15">
        <f>O32/'Pop &amp; CPI'!B38</f>
        <v>4.5148228774985162</v>
      </c>
      <c r="Q32" s="90">
        <v>2</v>
      </c>
      <c r="R32" s="285"/>
    </row>
    <row r="33" spans="1:18">
      <c r="A33" s="274">
        <v>1966</v>
      </c>
      <c r="B33" s="200">
        <v>3359277</v>
      </c>
      <c r="C33" s="3">
        <f>B33/'Pop &amp; CPI'!C39</f>
        <v>10664371.428571429</v>
      </c>
      <c r="D33" s="404">
        <f>C33/'Pop &amp; CPI'!B39</f>
        <v>10.761222430445438</v>
      </c>
      <c r="E33" s="188">
        <v>2141977</v>
      </c>
      <c r="F33" s="2"/>
      <c r="G33" s="2">
        <f t="shared" si="0"/>
        <v>2141977</v>
      </c>
      <c r="H33" s="10">
        <f>G33/'Pop &amp; CPI'!C39</f>
        <v>6799926.9841269841</v>
      </c>
      <c r="I33" s="11">
        <f>H33/'Pop &amp; CPI'!B39</f>
        <v>6.8616821232361094</v>
      </c>
      <c r="J33" s="189">
        <v>1</v>
      </c>
      <c r="K33" s="280">
        <v>1188472</v>
      </c>
      <c r="L33" s="10"/>
      <c r="M33" s="10"/>
      <c r="N33" s="10">
        <f t="shared" si="1"/>
        <v>1188472</v>
      </c>
      <c r="O33" s="10">
        <f>N33/'Pop &amp; CPI'!C39</f>
        <v>3772926.9841269841</v>
      </c>
      <c r="P33" s="12">
        <f>O33/'Pop &amp; CPI'!B39</f>
        <v>3.8071917095125976</v>
      </c>
      <c r="Q33" s="142">
        <v>2</v>
      </c>
      <c r="R33" s="286"/>
    </row>
    <row r="34" spans="1:18">
      <c r="A34" s="274">
        <v>1967</v>
      </c>
      <c r="B34" s="200">
        <v>3221555</v>
      </c>
      <c r="C34" s="3">
        <f>B34/'Pop &amp; CPI'!C40</f>
        <v>9943070.9876543209</v>
      </c>
      <c r="D34" s="404">
        <f>C34/'Pop &amp; CPI'!B40</f>
        <v>9.8543815536712795</v>
      </c>
      <c r="E34" s="188">
        <v>2086230</v>
      </c>
      <c r="F34" s="2"/>
      <c r="G34" s="2">
        <f t="shared" si="0"/>
        <v>2086230</v>
      </c>
      <c r="H34" s="10">
        <f>G34/'Pop &amp; CPI'!C40</f>
        <v>6438981.4814814813</v>
      </c>
      <c r="I34" s="11">
        <f>H34/'Pop &amp; CPI'!B40</f>
        <v>6.3815475534999813</v>
      </c>
      <c r="J34" s="189">
        <v>1</v>
      </c>
      <c r="K34" s="280">
        <v>1136704</v>
      </c>
      <c r="L34" s="10"/>
      <c r="M34" s="10"/>
      <c r="N34" s="10">
        <f t="shared" si="1"/>
        <v>1136704</v>
      </c>
      <c r="O34" s="10">
        <f>N34/'Pop &amp; CPI'!C40</f>
        <v>3508345.6790123456</v>
      </c>
      <c r="P34" s="12">
        <f>O34/'Pop &amp; CPI'!B40</f>
        <v>3.4770522091301741</v>
      </c>
      <c r="Q34" s="88">
        <v>2</v>
      </c>
      <c r="R34" s="284"/>
    </row>
    <row r="35" spans="1:18">
      <c r="A35" s="274">
        <v>1968</v>
      </c>
      <c r="B35" s="200">
        <v>2674337</v>
      </c>
      <c r="C35" s="3">
        <f>B35/'Pop &amp; CPI'!C41</f>
        <v>8006997.0059880251</v>
      </c>
      <c r="D35" s="404">
        <f>C35/'Pop &amp; CPI'!B41</f>
        <v>7.8577006928243618</v>
      </c>
      <c r="E35" s="188">
        <v>1528416</v>
      </c>
      <c r="F35" s="2"/>
      <c r="G35" s="2">
        <f t="shared" si="0"/>
        <v>1528416</v>
      </c>
      <c r="H35" s="10">
        <f>G35/'Pop &amp; CPI'!C41</f>
        <v>4576095.8083832338</v>
      </c>
      <c r="I35" s="11">
        <f>H35/'Pop &amp; CPI'!B41</f>
        <v>4.4907711564114168</v>
      </c>
      <c r="J35" s="189">
        <v>1</v>
      </c>
      <c r="K35" s="280">
        <v>1137834</v>
      </c>
      <c r="L35" s="10"/>
      <c r="M35" s="10"/>
      <c r="N35" s="10">
        <f t="shared" si="1"/>
        <v>1137834</v>
      </c>
      <c r="O35" s="10">
        <f>N35/'Pop &amp; CPI'!C41</f>
        <v>3406688.6227544914</v>
      </c>
      <c r="P35" s="12">
        <f>O35/'Pop &amp; CPI'!B41</f>
        <v>3.3431684227227589</v>
      </c>
      <c r="Q35" s="88">
        <v>2</v>
      </c>
      <c r="R35" s="284"/>
    </row>
    <row r="36" spans="1:18">
      <c r="A36" s="274">
        <v>1969</v>
      </c>
      <c r="B36" s="200">
        <v>2901126</v>
      </c>
      <c r="C36" s="3">
        <f>B36/'Pop &amp; CPI'!C42</f>
        <v>8336568.9655172415</v>
      </c>
      <c r="D36" s="404">
        <f>C36/'Pop &amp; CPI'!B42</f>
        <v>8.101621929560002</v>
      </c>
      <c r="E36" s="188">
        <v>1781866</v>
      </c>
      <c r="F36" s="2"/>
      <c r="G36" s="2">
        <f t="shared" si="0"/>
        <v>1781866</v>
      </c>
      <c r="H36" s="10">
        <f>G36/'Pop &amp; CPI'!C42</f>
        <v>5120304.59770115</v>
      </c>
      <c r="I36" s="11">
        <f>H36/'Pop &amp; CPI'!B42</f>
        <v>4.9760005808563168</v>
      </c>
      <c r="J36" s="189">
        <v>1</v>
      </c>
      <c r="K36" s="280">
        <v>1113865</v>
      </c>
      <c r="L36" s="10"/>
      <c r="M36" s="10"/>
      <c r="N36" s="10">
        <f t="shared" si="1"/>
        <v>1113865</v>
      </c>
      <c r="O36" s="10">
        <f>N36/'Pop &amp; CPI'!C42</f>
        <v>3200761.4942528736</v>
      </c>
      <c r="P36" s="12">
        <f>O36/'Pop &amp; CPI'!B42</f>
        <v>3.110555388000849</v>
      </c>
      <c r="Q36" s="88">
        <v>2</v>
      </c>
      <c r="R36" s="284"/>
    </row>
    <row r="37" spans="1:18">
      <c r="A37" s="275">
        <v>1970</v>
      </c>
      <c r="B37" s="201">
        <v>4179357</v>
      </c>
      <c r="C37" s="7">
        <f>B37/'Pop &amp; CPI'!C43</f>
        <v>11387893.732970025</v>
      </c>
      <c r="D37" s="405">
        <f>C37/'Pop &amp; CPI'!B43</f>
        <v>10.876689334259813</v>
      </c>
      <c r="E37" s="190">
        <v>3002564</v>
      </c>
      <c r="F37" s="6"/>
      <c r="G37" s="6">
        <f t="shared" si="0"/>
        <v>3002564</v>
      </c>
      <c r="H37" s="13">
        <f>G37/'Pop &amp; CPI'!C43</f>
        <v>8181373.2970027234</v>
      </c>
      <c r="I37" s="14">
        <f>H37/'Pop &amp; CPI'!B43</f>
        <v>7.8141101213015505</v>
      </c>
      <c r="J37" s="191">
        <v>1</v>
      </c>
      <c r="K37" s="281">
        <v>1170350</v>
      </c>
      <c r="L37" s="13"/>
      <c r="M37" s="13"/>
      <c r="N37" s="13">
        <f t="shared" si="1"/>
        <v>1170350</v>
      </c>
      <c r="O37" s="13">
        <f>N37/'Pop &amp; CPI'!C43</f>
        <v>3188964.5776566751</v>
      </c>
      <c r="P37" s="15">
        <f>O37/'Pop &amp; CPI'!B43</f>
        <v>3.0458114399777223</v>
      </c>
      <c r="Q37" s="90">
        <v>2</v>
      </c>
      <c r="R37" s="285"/>
    </row>
    <row r="38" spans="1:18">
      <c r="A38" s="274">
        <v>1971</v>
      </c>
      <c r="B38" s="200">
        <v>4576494</v>
      </c>
      <c r="C38" s="3">
        <f>B38/'Pop &amp; CPI'!C44</f>
        <v>11795087.628865981</v>
      </c>
      <c r="D38" s="404">
        <f>C38/'Pop &amp; CPI'!B44</f>
        <v>11.064810158410864</v>
      </c>
      <c r="E38" s="188">
        <v>3378243</v>
      </c>
      <c r="F38" s="2"/>
      <c r="G38" s="2">
        <f t="shared" si="0"/>
        <v>3378243</v>
      </c>
      <c r="H38" s="10">
        <f>G38/'Pop &amp; CPI'!C44</f>
        <v>8706811.8556701038</v>
      </c>
      <c r="I38" s="11">
        <f>H38/'Pop &amp; CPI'!B44</f>
        <v>8.1677409527862128</v>
      </c>
      <c r="J38" s="189">
        <v>1</v>
      </c>
      <c r="K38" s="280">
        <v>1202049</v>
      </c>
      <c r="L38" s="10"/>
      <c r="M38" s="10"/>
      <c r="N38" s="10">
        <f t="shared" si="1"/>
        <v>1202049</v>
      </c>
      <c r="O38" s="10">
        <f>N38/'Pop &amp; CPI'!C44</f>
        <v>3098064.4329896909</v>
      </c>
      <c r="P38" s="12">
        <f>O38/'Pop &amp; CPI'!B44</f>
        <v>2.9062518133111546</v>
      </c>
      <c r="Q38" s="142">
        <v>2</v>
      </c>
      <c r="R38" s="286"/>
    </row>
    <row r="39" spans="1:18">
      <c r="A39" s="274">
        <v>1972</v>
      </c>
      <c r="B39" s="200">
        <v>3830829</v>
      </c>
      <c r="C39" s="3">
        <f>B39/'Pop &amp; CPI'!C45</f>
        <v>9458837.0370370373</v>
      </c>
      <c r="D39" s="404">
        <f>C39/'Pop &amp; CPI'!B45</f>
        <v>8.5899623457630998</v>
      </c>
      <c r="E39" s="188">
        <v>2548691</v>
      </c>
      <c r="F39" s="2"/>
      <c r="G39" s="2">
        <f t="shared" si="0"/>
        <v>2548691</v>
      </c>
      <c r="H39" s="10">
        <f>G39/'Pop &amp; CPI'!C45</f>
        <v>6293064.1975308638</v>
      </c>
      <c r="I39" s="11">
        <f>H39/'Pop &amp; CPI'!B45</f>
        <v>5.7149926872186931</v>
      </c>
      <c r="J39" s="189">
        <v>1</v>
      </c>
      <c r="K39" s="280">
        <v>1294770</v>
      </c>
      <c r="L39" s="10"/>
      <c r="M39" s="10"/>
      <c r="N39" s="10">
        <f t="shared" si="1"/>
        <v>1294770</v>
      </c>
      <c r="O39" s="10">
        <f>N39/'Pop &amp; CPI'!C45</f>
        <v>3196962.9629629627</v>
      </c>
      <c r="P39" s="12">
        <f>O39/'Pop &amp; CPI'!B45</f>
        <v>2.9032947036852041</v>
      </c>
      <c r="Q39" s="88">
        <v>2</v>
      </c>
      <c r="R39" s="284"/>
    </row>
    <row r="40" spans="1:18">
      <c r="A40" s="274">
        <v>1973</v>
      </c>
      <c r="B40" s="200">
        <v>3801382</v>
      </c>
      <c r="C40" s="3">
        <f>B40/'Pop &amp; CPI'!C46</f>
        <v>9094215.3110047858</v>
      </c>
      <c r="D40" s="404">
        <f>C40/'Pop &amp; CPI'!B46</f>
        <v>8.0118186159851863</v>
      </c>
      <c r="E40" s="188">
        <v>2382866</v>
      </c>
      <c r="F40" s="2"/>
      <c r="G40" s="2">
        <f t="shared" si="0"/>
        <v>2382866</v>
      </c>
      <c r="H40" s="10">
        <f>G40/'Pop &amp; CPI'!C46</f>
        <v>5700636.3636363642</v>
      </c>
      <c r="I40" s="11">
        <f>H40/'Pop &amp; CPI'!B46</f>
        <v>5.0221446248228032</v>
      </c>
      <c r="J40" s="189">
        <v>1</v>
      </c>
      <c r="K40" s="280">
        <v>1397398</v>
      </c>
      <c r="L40" s="10"/>
      <c r="M40" s="10"/>
      <c r="N40" s="10">
        <f t="shared" si="1"/>
        <v>1397398</v>
      </c>
      <c r="O40" s="10">
        <f>N40/'Pop &amp; CPI'!C46</f>
        <v>3343057.4162679426</v>
      </c>
      <c r="P40" s="12">
        <f>O40/'Pop &amp; CPI'!B46</f>
        <v>2.9451655504078431</v>
      </c>
      <c r="Q40" s="88">
        <v>2</v>
      </c>
      <c r="R40" s="284"/>
    </row>
    <row r="41" spans="1:18">
      <c r="A41" s="274">
        <v>1974</v>
      </c>
      <c r="B41" s="200">
        <v>5033602</v>
      </c>
      <c r="C41" s="3">
        <f>B41/'Pop &amp; CPI'!C47</f>
        <v>11336941.441441441</v>
      </c>
      <c r="D41" s="404">
        <f>C41/'Pop &amp; CPI'!B47</f>
        <v>9.6983972295148995</v>
      </c>
      <c r="E41" s="188">
        <v>2871917</v>
      </c>
      <c r="F41" s="2"/>
      <c r="G41" s="2">
        <f t="shared" si="0"/>
        <v>2871917</v>
      </c>
      <c r="H41" s="10">
        <f>G41/'Pop &amp; CPI'!C47</f>
        <v>6468281.5315315314</v>
      </c>
      <c r="I41" s="11">
        <f>H41/'Pop &amp; CPI'!B47</f>
        <v>5.5334116356829046</v>
      </c>
      <c r="J41" s="189">
        <v>1</v>
      </c>
      <c r="K41" s="280">
        <v>2165184</v>
      </c>
      <c r="L41" s="10"/>
      <c r="M41" s="10"/>
      <c r="N41" s="10">
        <f t="shared" si="1"/>
        <v>2165184</v>
      </c>
      <c r="O41" s="10">
        <f>N41/'Pop &amp; CPI'!C47</f>
        <v>4876540.5405405406</v>
      </c>
      <c r="P41" s="12">
        <f>O41/'Pop &amp; CPI'!B47</f>
        <v>4.1717272257500664</v>
      </c>
      <c r="Q41" s="88">
        <v>2</v>
      </c>
      <c r="R41" s="284"/>
    </row>
    <row r="42" spans="1:18">
      <c r="A42" s="275">
        <v>1975</v>
      </c>
      <c r="B42" s="201">
        <v>5769461</v>
      </c>
      <c r="C42" s="7">
        <f>B42/'Pop &amp; CPI'!C48</f>
        <v>11702760.64908722</v>
      </c>
      <c r="D42" s="405">
        <f>C42/'Pop &amp; CPI'!B48</f>
        <v>9.7771507991872841</v>
      </c>
      <c r="E42" s="190">
        <v>3085616</v>
      </c>
      <c r="F42" s="6"/>
      <c r="G42" s="6">
        <f t="shared" si="0"/>
        <v>3085616</v>
      </c>
      <c r="H42" s="13">
        <f>G42/'Pop &amp; CPI'!C48</f>
        <v>6258855.9837728199</v>
      </c>
      <c r="I42" s="14">
        <f>H42/'Pop &amp; CPI'!B48</f>
        <v>5.2290037042255904</v>
      </c>
      <c r="J42" s="191">
        <v>1</v>
      </c>
      <c r="K42" s="281">
        <v>5438067</v>
      </c>
      <c r="L42" s="13"/>
      <c r="M42" s="13"/>
      <c r="N42" s="13">
        <f t="shared" si="1"/>
        <v>5438067</v>
      </c>
      <c r="O42" s="13">
        <f>N42/'Pop &amp; CPI'!C48</f>
        <v>11030561.866125761</v>
      </c>
      <c r="P42" s="15">
        <f>O42/'Pop &amp; CPI'!B48</f>
        <v>9.2155577644227087</v>
      </c>
      <c r="Q42" s="90">
        <v>2</v>
      </c>
      <c r="R42" s="285"/>
    </row>
    <row r="43" spans="1:18">
      <c r="A43" s="274">
        <v>1976</v>
      </c>
      <c r="B43" s="200">
        <v>11258648</v>
      </c>
      <c r="C43" s="3">
        <f>B43/'Pop &amp; CPI'!C49</f>
        <v>20926855.018587362</v>
      </c>
      <c r="D43" s="404">
        <f>C43/'Pop &amp; CPI'!B49</f>
        <v>16.959927886042113</v>
      </c>
      <c r="E43" s="188">
        <v>2497198</v>
      </c>
      <c r="F43" s="2"/>
      <c r="G43" s="2">
        <f t="shared" si="0"/>
        <v>2497198</v>
      </c>
      <c r="H43" s="10">
        <f>G43/'Pop &amp; CPI'!C49</f>
        <v>4641631.9702602234</v>
      </c>
      <c r="I43" s="11">
        <f>H43/'Pop &amp; CPI'!B49</f>
        <v>3.7617570064512709</v>
      </c>
      <c r="J43" s="189">
        <v>1</v>
      </c>
      <c r="K43" s="280">
        <v>5915867</v>
      </c>
      <c r="L43" s="10"/>
      <c r="M43" s="10"/>
      <c r="N43" s="10">
        <f t="shared" si="1"/>
        <v>5915867</v>
      </c>
      <c r="O43" s="10">
        <f>N43/'Pop &amp; CPI'!C49</f>
        <v>10996035.315985132</v>
      </c>
      <c r="P43" s="12">
        <f>O43/'Pop &amp; CPI'!B49</f>
        <v>8.9116097868426394</v>
      </c>
      <c r="Q43" s="142">
        <v>2</v>
      </c>
      <c r="R43" s="286"/>
    </row>
    <row r="44" spans="1:18">
      <c r="A44" s="274">
        <v>1977</v>
      </c>
      <c r="B44" s="200">
        <v>8489036</v>
      </c>
      <c r="C44" s="3">
        <f>B44/'Pop &amp; CPI'!C50</f>
        <v>14919219.683655538</v>
      </c>
      <c r="D44" s="404">
        <f>C44/'Pop &amp; CPI'!B50</f>
        <v>11.728485266817765</v>
      </c>
      <c r="E44" s="188">
        <v>1958565</v>
      </c>
      <c r="F44" s="2"/>
      <c r="G44" s="2">
        <f t="shared" si="0"/>
        <v>1958565</v>
      </c>
      <c r="H44" s="10">
        <f>G44/'Pop &amp; CPI'!C50</f>
        <v>3442117.7504393677</v>
      </c>
      <c r="I44" s="11">
        <f>H44/'Pop &amp; CPI'!B50</f>
        <v>2.7059610474740521</v>
      </c>
      <c r="J44" s="189">
        <v>1</v>
      </c>
      <c r="K44" s="280">
        <v>6613621</v>
      </c>
      <c r="L44" s="10"/>
      <c r="M44" s="10"/>
      <c r="N44" s="10">
        <f t="shared" si="1"/>
        <v>6613621</v>
      </c>
      <c r="O44" s="10">
        <f>N44/'Pop &amp; CPI'!C50</f>
        <v>11623235.500878736</v>
      </c>
      <c r="P44" s="12">
        <f>O44/'Pop &amp; CPI'!B50</f>
        <v>9.1374045838439812</v>
      </c>
      <c r="Q44" s="88">
        <v>2</v>
      </c>
      <c r="R44" s="284"/>
    </row>
    <row r="45" spans="1:18">
      <c r="A45" s="274">
        <v>1978</v>
      </c>
      <c r="B45" s="200">
        <v>8446277</v>
      </c>
      <c r="C45" s="3">
        <f>B45/'Pop &amp; CPI'!C51</f>
        <v>13937750.825082509</v>
      </c>
      <c r="D45" s="404">
        <f>C45/'Pop &amp; CPI'!B51</f>
        <v>10.59139847644858</v>
      </c>
      <c r="E45" s="188">
        <v>2307175</v>
      </c>
      <c r="F45" s="2"/>
      <c r="G45" s="2">
        <f t="shared" si="0"/>
        <v>2307175</v>
      </c>
      <c r="H45" s="10">
        <f>G45/'Pop &amp; CPI'!C51</f>
        <v>3807219.471947195</v>
      </c>
      <c r="I45" s="11">
        <f>H45/'Pop &amp; CPI'!B51</f>
        <v>2.8931338363518333</v>
      </c>
      <c r="J45" s="189">
        <v>1</v>
      </c>
      <c r="K45" s="280">
        <v>6162168</v>
      </c>
      <c r="L45" s="10"/>
      <c r="M45" s="10"/>
      <c r="N45" s="10">
        <f t="shared" si="1"/>
        <v>6162168</v>
      </c>
      <c r="O45" s="10">
        <f>N45/'Pop &amp; CPI'!C51</f>
        <v>10168594.059405942</v>
      </c>
      <c r="P45" s="12">
        <f>O45/'Pop &amp; CPI'!B51</f>
        <v>7.727188768118805</v>
      </c>
      <c r="Q45" s="88">
        <v>2</v>
      </c>
      <c r="R45" s="284"/>
    </row>
    <row r="46" spans="1:18">
      <c r="A46" s="274">
        <v>1979</v>
      </c>
      <c r="B46" s="200">
        <v>8423221</v>
      </c>
      <c r="C46" s="3">
        <f>B46/'Pop &amp; CPI'!C52</f>
        <v>12919050.613496931</v>
      </c>
      <c r="D46" s="404">
        <f>C46/'Pop &amp; CPI'!B52</f>
        <v>9.4731810181462368</v>
      </c>
      <c r="E46" s="188">
        <v>2934722</v>
      </c>
      <c r="F46" s="2"/>
      <c r="G46" s="2">
        <f t="shared" si="0"/>
        <v>2934722</v>
      </c>
      <c r="H46" s="10">
        <f>G46/'Pop &amp; CPI'!C52</f>
        <v>4501107.3619631901</v>
      </c>
      <c r="I46" s="11">
        <f>H46/'Pop &amp; CPI'!B52</f>
        <v>3.300537020687949</v>
      </c>
      <c r="J46" s="189">
        <v>1</v>
      </c>
      <c r="K46" s="280">
        <v>6667749</v>
      </c>
      <c r="L46" s="10"/>
      <c r="M46" s="10"/>
      <c r="N46" s="10">
        <f t="shared" si="1"/>
        <v>6667749</v>
      </c>
      <c r="O46" s="10">
        <f>N46/'Pop &amp; CPI'!C52</f>
        <v>10226608.895705521</v>
      </c>
      <c r="P46" s="12">
        <f>O46/'Pop &amp; CPI'!B52</f>
        <v>7.4988882828271466</v>
      </c>
      <c r="Q46" s="88">
        <v>2</v>
      </c>
      <c r="R46" s="284"/>
    </row>
    <row r="47" spans="1:18">
      <c r="A47" s="275">
        <v>1980</v>
      </c>
      <c r="B47" s="201">
        <v>9821081</v>
      </c>
      <c r="C47" s="7">
        <f>B47/'Pop &amp; CPI'!C53</f>
        <v>13527659.779614326</v>
      </c>
      <c r="D47" s="405">
        <f>C47/'Pop &amp; CPI'!B53</f>
        <v>9.5537693983645795</v>
      </c>
      <c r="E47" s="190">
        <v>3709882</v>
      </c>
      <c r="F47" s="6"/>
      <c r="G47" s="6">
        <f t="shared" si="0"/>
        <v>3709882</v>
      </c>
      <c r="H47" s="13">
        <f>G47/'Pop &amp; CPI'!C53</f>
        <v>5110030.3030303027</v>
      </c>
      <c r="I47" s="14">
        <f>H47/'Pop &amp; CPI'!B53</f>
        <v>3.6089058957098081</v>
      </c>
      <c r="J47" s="191">
        <v>1</v>
      </c>
      <c r="K47" s="281">
        <v>6857879</v>
      </c>
      <c r="L47" s="13"/>
      <c r="M47" s="13"/>
      <c r="N47" s="13">
        <f t="shared" si="1"/>
        <v>6857879</v>
      </c>
      <c r="O47" s="13">
        <f>N47/'Pop &amp; CPI'!C53</f>
        <v>9446114.3250688706</v>
      </c>
      <c r="P47" s="15">
        <f>O47/'Pop &amp; CPI'!B53</f>
        <v>6.671220258532343</v>
      </c>
      <c r="Q47" s="90">
        <v>2</v>
      </c>
      <c r="R47" s="285"/>
    </row>
    <row r="48" spans="1:18">
      <c r="A48" s="274">
        <v>1981</v>
      </c>
      <c r="B48" s="200">
        <v>14757130</v>
      </c>
      <c r="C48" s="3">
        <f>B48/'Pop &amp; CPI'!C54</f>
        <v>17909138.349514563</v>
      </c>
      <c r="D48" s="404">
        <f>C48/'Pop &amp; CPI'!B54</f>
        <v>12.150026017309743</v>
      </c>
      <c r="E48" s="188">
        <v>4167921</v>
      </c>
      <c r="F48" s="2"/>
      <c r="G48" s="2">
        <f t="shared" si="0"/>
        <v>4167921</v>
      </c>
      <c r="H48" s="10">
        <f>G48/'Pop &amp; CPI'!C54</f>
        <v>5058156.5533980578</v>
      </c>
      <c r="I48" s="11">
        <f>H48/'Pop &amp; CPI'!B54</f>
        <v>3.4315851786961042</v>
      </c>
      <c r="J48" s="189">
        <v>1</v>
      </c>
      <c r="K48" s="280">
        <v>11175800</v>
      </c>
      <c r="L48" s="10"/>
      <c r="M48" s="10"/>
      <c r="N48" s="10">
        <f t="shared" si="1"/>
        <v>11175800</v>
      </c>
      <c r="O48" s="10">
        <f>N48/'Pop &amp; CPI'!C54</f>
        <v>13562864.077669902</v>
      </c>
      <c r="P48" s="12">
        <f>O48/'Pop &amp; CPI'!B54</f>
        <v>9.2014003240637052</v>
      </c>
      <c r="Q48" s="142">
        <v>2</v>
      </c>
      <c r="R48" s="286"/>
    </row>
    <row r="49" spans="1:18">
      <c r="A49" s="274">
        <v>1982</v>
      </c>
      <c r="B49" s="200">
        <v>20694158</v>
      </c>
      <c r="C49" s="3">
        <f>B49/'Pop &amp; CPI'!C55</f>
        <v>22765850.385038503</v>
      </c>
      <c r="D49" s="404">
        <f>C49/'Pop &amp; CPI'!B55</f>
        <v>15.026963950520464</v>
      </c>
      <c r="E49" s="188">
        <v>4212728</v>
      </c>
      <c r="F49" s="2"/>
      <c r="G49" s="2">
        <f t="shared" si="0"/>
        <v>4212728</v>
      </c>
      <c r="H49" s="10">
        <f>G49/'Pop &amp; CPI'!C55</f>
        <v>4634464.2464246424</v>
      </c>
      <c r="I49" s="11">
        <f>H49/'Pop &amp; CPI'!B55</f>
        <v>3.0590523078710512</v>
      </c>
      <c r="J49" s="189">
        <v>1</v>
      </c>
      <c r="K49" s="280">
        <v>19094384</v>
      </c>
      <c r="L49" s="10"/>
      <c r="M49" s="10"/>
      <c r="N49" s="10">
        <f t="shared" si="1"/>
        <v>19094384</v>
      </c>
      <c r="O49" s="10">
        <f>N49/'Pop &amp; CPI'!C55</f>
        <v>21005922.992299229</v>
      </c>
      <c r="P49" s="12">
        <f>O49/'Pop &amp; CPI'!B55</f>
        <v>13.86529570448794</v>
      </c>
      <c r="Q49" s="88">
        <v>2</v>
      </c>
      <c r="R49" s="284"/>
    </row>
    <row r="50" spans="1:18">
      <c r="A50" s="274">
        <v>1983</v>
      </c>
      <c r="B50" s="200">
        <f t="shared" ref="B50:B52" si="2">G50+N50</f>
        <v>19433070</v>
      </c>
      <c r="C50" s="3">
        <f>B50/'Pop &amp; CPI'!C56</f>
        <v>20137896.373056997</v>
      </c>
      <c r="D50" s="404">
        <f>C50/'Pop &amp; CPI'!B56</f>
        <v>12.925479058444798</v>
      </c>
      <c r="E50" s="188">
        <v>2333993</v>
      </c>
      <c r="F50" s="2"/>
      <c r="G50" s="2">
        <f t="shared" si="0"/>
        <v>2333993</v>
      </c>
      <c r="H50" s="10">
        <f>G50/'Pop &amp; CPI'!C56</f>
        <v>2418645.5958549222</v>
      </c>
      <c r="I50" s="11">
        <f>H50/'Pop &amp; CPI'!B56</f>
        <v>1.5524041051700399</v>
      </c>
      <c r="J50" s="189">
        <v>1</v>
      </c>
      <c r="K50" s="280">
        <v>17099077</v>
      </c>
      <c r="L50" s="10"/>
      <c r="M50" s="10"/>
      <c r="N50" s="10">
        <f t="shared" si="1"/>
        <v>17099077</v>
      </c>
      <c r="O50" s="10">
        <f>N50/'Pop &amp; CPI'!C56</f>
        <v>17719250.777202073</v>
      </c>
      <c r="P50" s="12">
        <f>O50/'Pop &amp; CPI'!B56</f>
        <v>11.373074953274758</v>
      </c>
      <c r="Q50" s="88">
        <v>2</v>
      </c>
      <c r="R50" s="284"/>
    </row>
    <row r="51" spans="1:18">
      <c r="A51" s="274">
        <v>1984</v>
      </c>
      <c r="B51" s="200">
        <f t="shared" si="2"/>
        <v>36244629</v>
      </c>
      <c r="C51" s="3">
        <f>B51/'Pop &amp; CPI'!C57</f>
        <v>36390189.759036146</v>
      </c>
      <c r="D51" s="404">
        <f>C51/'Pop &amp; CPI'!B57</f>
        <v>22.815165993126111</v>
      </c>
      <c r="E51" s="188">
        <v>3653056</v>
      </c>
      <c r="F51" s="2"/>
      <c r="G51" s="2">
        <f t="shared" si="0"/>
        <v>3653056</v>
      </c>
      <c r="H51" s="10">
        <f>G51/'Pop &amp; CPI'!C57</f>
        <v>3667726.9076305223</v>
      </c>
      <c r="I51" s="11">
        <f>H51/'Pop &amp; CPI'!B57</f>
        <v>2.2995153025896693</v>
      </c>
      <c r="J51" s="189">
        <v>1</v>
      </c>
      <c r="K51" s="280">
        <v>32591573</v>
      </c>
      <c r="L51" s="10"/>
      <c r="M51" s="10"/>
      <c r="N51" s="10">
        <f t="shared" si="1"/>
        <v>32591573</v>
      </c>
      <c r="O51" s="10">
        <f>N51/'Pop &amp; CPI'!C57</f>
        <v>32722462.851405624</v>
      </c>
      <c r="P51" s="12">
        <f>O51/'Pop &amp; CPI'!B57</f>
        <v>20.515650690536443</v>
      </c>
      <c r="Q51" s="88">
        <v>2</v>
      </c>
      <c r="R51" s="284"/>
    </row>
    <row r="52" spans="1:18">
      <c r="A52" s="274">
        <v>1985</v>
      </c>
      <c r="B52" s="200">
        <f t="shared" si="2"/>
        <v>47208160</v>
      </c>
      <c r="C52" s="3">
        <f>B52/'Pop &amp; CPI'!C58</f>
        <v>45436150.14436958</v>
      </c>
      <c r="D52" s="404">
        <f>C52/'Pop &amp; CPI'!B58</f>
        <v>28.012423023655721</v>
      </c>
      <c r="E52" s="188">
        <v>761400</v>
      </c>
      <c r="F52" s="2"/>
      <c r="G52" s="2">
        <f t="shared" si="0"/>
        <v>761400</v>
      </c>
      <c r="H52" s="10">
        <f>G52/'Pop &amp; CPI'!C58</f>
        <v>732820.019249278</v>
      </c>
      <c r="I52" s="11">
        <f>H52/'Pop &amp; CPI'!B58</f>
        <v>0.45180025847674354</v>
      </c>
      <c r="J52" s="189">
        <v>1</v>
      </c>
      <c r="K52" s="280">
        <v>46446760</v>
      </c>
      <c r="L52" s="10"/>
      <c r="M52" s="10"/>
      <c r="N52" s="10">
        <f t="shared" si="1"/>
        <v>46446760</v>
      </c>
      <c r="O52" s="10">
        <f>N52/'Pop &amp; CPI'!C58</f>
        <v>44703330.125120305</v>
      </c>
      <c r="P52" s="12">
        <f>O52/'Pop &amp; CPI'!B58</f>
        <v>27.56062276517898</v>
      </c>
      <c r="Q52" s="90">
        <v>4</v>
      </c>
      <c r="R52" s="284" t="s">
        <v>41</v>
      </c>
    </row>
    <row r="53" spans="1:18">
      <c r="A53" s="276">
        <v>1986</v>
      </c>
      <c r="B53" s="202">
        <f>G53+N53</f>
        <v>43796980</v>
      </c>
      <c r="C53" s="33">
        <f>B53/'Pop &amp; CPI'!C59</f>
        <v>40703513.011152424</v>
      </c>
      <c r="D53" s="406">
        <f>C53/'Pop &amp; CPI'!B59</f>
        <v>24.773897146167027</v>
      </c>
      <c r="E53" s="192">
        <v>1023523</v>
      </c>
      <c r="F53" s="32"/>
      <c r="G53" s="32">
        <f t="shared" si="0"/>
        <v>1023523</v>
      </c>
      <c r="H53" s="34">
        <f>G53/'Pop &amp; CPI'!C59</f>
        <v>951229.55390334583</v>
      </c>
      <c r="I53" s="35">
        <f>H53/'Pop &amp; CPI'!B59</f>
        <v>0.57895894942382586</v>
      </c>
      <c r="J53" s="193">
        <v>1</v>
      </c>
      <c r="K53" s="282">
        <v>42773457</v>
      </c>
      <c r="L53" s="34"/>
      <c r="M53" s="34"/>
      <c r="N53" s="34">
        <f t="shared" si="1"/>
        <v>42773457</v>
      </c>
      <c r="O53" s="34">
        <f>N53/'Pop &amp; CPI'!C59</f>
        <v>39752283.457249075</v>
      </c>
      <c r="P53" s="36">
        <f>O53/'Pop &amp; CPI'!B59</f>
        <v>24.194938196743198</v>
      </c>
      <c r="Q53" s="142">
        <v>4</v>
      </c>
      <c r="R53" s="286"/>
    </row>
    <row r="54" spans="1:18">
      <c r="A54" s="274">
        <v>1987</v>
      </c>
      <c r="B54" s="200">
        <f t="shared" ref="B54:B84" si="3">G54+N54</f>
        <v>21680640</v>
      </c>
      <c r="C54" s="3">
        <f>B54/'Pop &amp; CPI'!C60</f>
        <v>19781605.839416061</v>
      </c>
      <c r="D54" s="404">
        <f>C54/'Pop &amp; CPI'!B60</f>
        <v>11.895132795800397</v>
      </c>
      <c r="E54" s="188">
        <v>887589</v>
      </c>
      <c r="F54" s="2"/>
      <c r="G54" s="2">
        <f t="shared" si="0"/>
        <v>887589</v>
      </c>
      <c r="H54" s="10">
        <f>G54/'Pop &amp; CPI'!C60</f>
        <v>809843.97810218984</v>
      </c>
      <c r="I54" s="11">
        <f>H54/'Pop &amp; CPI'!B60</f>
        <v>0.48697773788466014</v>
      </c>
      <c r="J54" s="189">
        <v>1</v>
      </c>
      <c r="K54" s="410">
        <v>20793051</v>
      </c>
      <c r="L54" s="31"/>
      <c r="M54" s="31"/>
      <c r="N54" s="31">
        <f t="shared" si="1"/>
        <v>20793051</v>
      </c>
      <c r="O54" s="10">
        <f>N54/'Pop &amp; CPI'!C60</f>
        <v>18971761.861313872</v>
      </c>
      <c r="P54" s="12">
        <f>O54/'Pop &amp; CPI'!B60</f>
        <v>11.408155057915739</v>
      </c>
      <c r="Q54" s="88">
        <v>4</v>
      </c>
      <c r="R54" s="284"/>
    </row>
    <row r="55" spans="1:18">
      <c r="A55" s="274">
        <v>1988</v>
      </c>
      <c r="B55" s="203">
        <f t="shared" si="3"/>
        <v>29155928</v>
      </c>
      <c r="C55" s="3">
        <f>B55/'Pop &amp; CPI'!C61</f>
        <v>25665429.577464793</v>
      </c>
      <c r="D55" s="404">
        <f>C55/'Pop &amp; CPI'!B61</f>
        <v>15.295250046164954</v>
      </c>
      <c r="E55" s="194">
        <v>3643336</v>
      </c>
      <c r="F55" s="16"/>
      <c r="G55" s="16">
        <f t="shared" si="0"/>
        <v>3643336</v>
      </c>
      <c r="H55" s="10">
        <f>G55/'Pop &amp; CPI'!C61</f>
        <v>3207161.971830986</v>
      </c>
      <c r="I55" s="11">
        <f>H55/'Pop &amp; CPI'!B61</f>
        <v>1.911300340781279</v>
      </c>
      <c r="J55" s="57">
        <v>2.4</v>
      </c>
      <c r="K55" s="262">
        <v>25512592</v>
      </c>
      <c r="L55" s="3"/>
      <c r="M55" s="3"/>
      <c r="N55" s="3">
        <f t="shared" si="1"/>
        <v>25512592</v>
      </c>
      <c r="O55" s="10">
        <f>N55/'Pop &amp; CPI'!C61</f>
        <v>22458267.605633806</v>
      </c>
      <c r="P55" s="12">
        <f>O55/'Pop &amp; CPI'!B61</f>
        <v>13.383949705383674</v>
      </c>
      <c r="Q55" s="88">
        <v>4</v>
      </c>
      <c r="R55" s="284" t="s">
        <v>42</v>
      </c>
    </row>
    <row r="56" spans="1:18">
      <c r="A56" s="274">
        <v>1989</v>
      </c>
      <c r="B56" s="203">
        <f t="shared" si="3"/>
        <v>28134067</v>
      </c>
      <c r="C56" s="3">
        <f>B56/'Pop &amp; CPI'!C62</f>
        <v>23781967.032967031</v>
      </c>
      <c r="D56" s="404">
        <f>C56/'Pop &amp; CPI'!B62</f>
        <v>14.072169841992325</v>
      </c>
      <c r="E56" s="194">
        <v>4935555</v>
      </c>
      <c r="F56" s="16"/>
      <c r="G56" s="16">
        <f t="shared" si="0"/>
        <v>4935555</v>
      </c>
      <c r="H56" s="10">
        <f>G56/'Pop &amp; CPI'!C62</f>
        <v>4172066.7793744714</v>
      </c>
      <c r="I56" s="11">
        <f>H56/'Pop &amp; CPI'!B62</f>
        <v>2.4686785676772018</v>
      </c>
      <c r="J56" s="57">
        <v>2.4</v>
      </c>
      <c r="K56" s="262">
        <v>23198512</v>
      </c>
      <c r="L56" s="3"/>
      <c r="M56" s="3"/>
      <c r="N56" s="3">
        <f t="shared" si="1"/>
        <v>23198512</v>
      </c>
      <c r="O56" s="10">
        <f>N56/'Pop &amp; CPI'!C62</f>
        <v>19609900.253592562</v>
      </c>
      <c r="P56" s="12">
        <f>O56/'Pop &amp; CPI'!B62</f>
        <v>11.603491274315125</v>
      </c>
      <c r="Q56" s="88">
        <v>4</v>
      </c>
      <c r="R56" s="284"/>
    </row>
    <row r="57" spans="1:18">
      <c r="A57" s="275">
        <v>1990</v>
      </c>
      <c r="B57" s="204">
        <f t="shared" si="3"/>
        <v>30095784</v>
      </c>
      <c r="C57" s="7">
        <f>B57/'Pop &amp; CPI'!C63</f>
        <v>24270793.548387095</v>
      </c>
      <c r="D57" s="405">
        <f>C57/'Pop &amp; CPI'!B63</f>
        <v>14.226725409371099</v>
      </c>
      <c r="E57" s="195">
        <v>5389113</v>
      </c>
      <c r="F57" s="18"/>
      <c r="G57" s="18">
        <f t="shared" si="0"/>
        <v>5389113</v>
      </c>
      <c r="H57" s="13">
        <f>G57/'Pop &amp; CPI'!C63</f>
        <v>4346058.8709677421</v>
      </c>
      <c r="I57" s="14">
        <f>H57/'Pop &amp; CPI'!B63</f>
        <v>2.5475139923609271</v>
      </c>
      <c r="J57" s="196">
        <v>2.4500000000000002</v>
      </c>
      <c r="K57" s="272">
        <v>24706671</v>
      </c>
      <c r="L57" s="7"/>
      <c r="M57" s="7"/>
      <c r="N57" s="7">
        <f t="shared" si="1"/>
        <v>24706671</v>
      </c>
      <c r="O57" s="13">
        <f>N57/'Pop &amp; CPI'!C63</f>
        <v>19924734.677419353</v>
      </c>
      <c r="P57" s="15">
        <f>O57/'Pop &amp; CPI'!B63</f>
        <v>11.679211417010173</v>
      </c>
      <c r="Q57" s="90">
        <v>4</v>
      </c>
      <c r="R57" s="285" t="s">
        <v>43</v>
      </c>
    </row>
    <row r="58" spans="1:18">
      <c r="A58" s="274">
        <v>1991</v>
      </c>
      <c r="B58" s="203">
        <f t="shared" si="3"/>
        <v>31016407</v>
      </c>
      <c r="C58" s="3">
        <f>B58/'Pop &amp; CPI'!C64</f>
        <v>23730992.348890591</v>
      </c>
      <c r="D58" s="404">
        <f>C58/'Pop &amp; CPI'!B64</f>
        <v>13.723468549178675</v>
      </c>
      <c r="E58" s="194">
        <v>7252524</v>
      </c>
      <c r="F58" s="16"/>
      <c r="G58" s="16">
        <f t="shared" si="0"/>
        <v>7252524</v>
      </c>
      <c r="H58" s="10">
        <f>G58/'Pop &amp; CPI'!C64</f>
        <v>5548985.4628921198</v>
      </c>
      <c r="I58" s="11">
        <f>H58/'Pop &amp; CPI'!B64</f>
        <v>3.2089398690236273</v>
      </c>
      <c r="J58" s="57">
        <v>2.6</v>
      </c>
      <c r="K58" s="262">
        <v>23763883</v>
      </c>
      <c r="L58" s="3"/>
      <c r="M58" s="3"/>
      <c r="N58" s="3">
        <f t="shared" si="1"/>
        <v>23763883</v>
      </c>
      <c r="O58" s="10">
        <f>N58/'Pop &amp; CPI'!C64</f>
        <v>18182006.885998469</v>
      </c>
      <c r="P58" s="12">
        <f>O58/'Pop &amp; CPI'!B64</f>
        <v>10.514528680155045</v>
      </c>
      <c r="Q58" s="142">
        <v>4</v>
      </c>
      <c r="R58" s="286"/>
    </row>
    <row r="59" spans="1:18">
      <c r="A59" s="274">
        <v>1992</v>
      </c>
      <c r="B59" s="203">
        <f t="shared" si="3"/>
        <v>18160200</v>
      </c>
      <c r="C59" s="3">
        <f>B59/'Pop &amp; CPI'!C65</f>
        <v>13333480.176211456</v>
      </c>
      <c r="D59" s="404">
        <f>C59/'Pop &amp; CPI'!B65</f>
        <v>7.4870597944889044</v>
      </c>
      <c r="E59" s="194">
        <v>6413406</v>
      </c>
      <c r="F59" s="16"/>
      <c r="G59" s="16">
        <f t="shared" si="0"/>
        <v>6413406</v>
      </c>
      <c r="H59" s="10">
        <f>G59/'Pop &amp; CPI'!C65</f>
        <v>4708814.9779735683</v>
      </c>
      <c r="I59" s="11">
        <f>H59/'Pop &amp; CPI'!B65</f>
        <v>2.6441093274487009</v>
      </c>
      <c r="J59" s="57">
        <v>2.6</v>
      </c>
      <c r="K59" s="262">
        <v>11746794</v>
      </c>
      <c r="L59" s="3"/>
      <c r="M59" s="3"/>
      <c r="N59" s="3">
        <f t="shared" si="1"/>
        <v>11746794</v>
      </c>
      <c r="O59" s="10">
        <f>N59/'Pop &amp; CPI'!C65</f>
        <v>8624665.1982378867</v>
      </c>
      <c r="P59" s="12">
        <f>O59/'Pop &amp; CPI'!B65</f>
        <v>4.842950467040203</v>
      </c>
      <c r="Q59" s="88" t="s">
        <v>114</v>
      </c>
      <c r="R59" s="284" t="s">
        <v>44</v>
      </c>
    </row>
    <row r="60" spans="1:18">
      <c r="A60" s="274">
        <v>1993</v>
      </c>
      <c r="B60" s="203">
        <f t="shared" si="3"/>
        <v>19266829</v>
      </c>
      <c r="C60" s="3">
        <f>B60/'Pop &amp; CPI'!C66</f>
        <v>13732593.727726301</v>
      </c>
      <c r="D60" s="404">
        <f>C60/'Pop &amp; CPI'!B66</f>
        <v>7.4708817009536777</v>
      </c>
      <c r="E60" s="194">
        <v>7037894</v>
      </c>
      <c r="F60" s="16"/>
      <c r="G60" s="16">
        <f t="shared" si="0"/>
        <v>7037894</v>
      </c>
      <c r="H60" s="10">
        <f>G60/'Pop &amp; CPI'!C66</f>
        <v>5016317.8902352098</v>
      </c>
      <c r="I60" s="11">
        <f>H60/'Pop &amp; CPI'!B66</f>
        <v>2.7290050427006789</v>
      </c>
      <c r="J60" s="57">
        <v>2.6</v>
      </c>
      <c r="K60" s="262">
        <v>12228935</v>
      </c>
      <c r="L60" s="3"/>
      <c r="M60" s="3"/>
      <c r="N60" s="3">
        <f t="shared" si="1"/>
        <v>12228935</v>
      </c>
      <c r="O60" s="10">
        <f>N60/'Pop &amp; CPI'!C66</f>
        <v>8716275.8374910895</v>
      </c>
      <c r="P60" s="12">
        <f>O60/'Pop &amp; CPI'!B66</f>
        <v>4.7418766582529974</v>
      </c>
      <c r="Q60" s="88" t="s">
        <v>114</v>
      </c>
      <c r="R60" s="284"/>
    </row>
    <row r="61" spans="1:18">
      <c r="A61" s="274">
        <v>1994</v>
      </c>
      <c r="B61" s="203">
        <f t="shared" si="3"/>
        <v>18872512</v>
      </c>
      <c r="C61" s="3">
        <f>B61/'Pop &amp; CPI'!C67</f>
        <v>13060561.937716262</v>
      </c>
      <c r="D61" s="404">
        <f>C61/'Pop &amp; CPI'!B67</f>
        <v>6.9125703004701844</v>
      </c>
      <c r="E61" s="194">
        <v>6116475</v>
      </c>
      <c r="F61" s="16"/>
      <c r="G61" s="16">
        <f t="shared" si="0"/>
        <v>6116475</v>
      </c>
      <c r="H61" s="10">
        <f>G61/'Pop &amp; CPI'!C67</f>
        <v>4232854.671280277</v>
      </c>
      <c r="I61" s="11">
        <f>H61/'Pop &amp; CPI'!B67</f>
        <v>2.2403251580165042</v>
      </c>
      <c r="J61" s="57">
        <v>2.6</v>
      </c>
      <c r="K61" s="262">
        <v>12756037</v>
      </c>
      <c r="L61" s="3"/>
      <c r="M61" s="3"/>
      <c r="N61" s="3">
        <f t="shared" si="1"/>
        <v>12756037</v>
      </c>
      <c r="O61" s="10">
        <f>N61/'Pop &amp; CPI'!C67</f>
        <v>8827707.2664359864</v>
      </c>
      <c r="P61" s="12">
        <f>O61/'Pop &amp; CPI'!B67</f>
        <v>4.6722451424536802</v>
      </c>
      <c r="Q61" s="88" t="s">
        <v>114</v>
      </c>
      <c r="R61" s="284"/>
    </row>
    <row r="62" spans="1:18">
      <c r="A62" s="275">
        <v>1995</v>
      </c>
      <c r="B62" s="204">
        <f t="shared" si="3"/>
        <v>21403658</v>
      </c>
      <c r="C62" s="7">
        <f>B62/'Pop &amp; CPI'!C68</f>
        <v>14442414.304993253</v>
      </c>
      <c r="D62" s="405">
        <f>C62/'Pop &amp; CPI'!B68</f>
        <v>7.4188413773690494</v>
      </c>
      <c r="E62" s="195">
        <v>8419283</v>
      </c>
      <c r="F62" s="18"/>
      <c r="G62" s="18">
        <f t="shared" si="0"/>
        <v>8419283</v>
      </c>
      <c r="H62" s="13">
        <f>G62/'Pop &amp; CPI'!C68</f>
        <v>5681027.6653171387</v>
      </c>
      <c r="I62" s="14">
        <f>H62/'Pop &amp; CPI'!B68</f>
        <v>2.918254678157342</v>
      </c>
      <c r="J62" s="61">
        <v>2.6</v>
      </c>
      <c r="K62" s="272">
        <v>12984375</v>
      </c>
      <c r="L62" s="7"/>
      <c r="M62" s="7"/>
      <c r="N62" s="7">
        <f t="shared" si="1"/>
        <v>12984375</v>
      </c>
      <c r="O62" s="13">
        <f>N62/'Pop &amp; CPI'!C68</f>
        <v>8761386.6396761127</v>
      </c>
      <c r="P62" s="15">
        <f>O62/'Pop &amp; CPI'!B68</f>
        <v>4.5005866992117065</v>
      </c>
      <c r="Q62" s="90" t="s">
        <v>114</v>
      </c>
      <c r="R62" s="285"/>
    </row>
    <row r="63" spans="1:18">
      <c r="A63" s="274">
        <v>1996</v>
      </c>
      <c r="B63" s="203">
        <f t="shared" si="3"/>
        <v>20739372.170000002</v>
      </c>
      <c r="C63" s="3">
        <f>B63/'Pop &amp; CPI'!C69</f>
        <v>13608511.922572179</v>
      </c>
      <c r="D63" s="404">
        <f>C63/'Pop &amp; CPI'!B69</f>
        <v>6.820529745258276</v>
      </c>
      <c r="E63" s="194">
        <v>8289094</v>
      </c>
      <c r="F63" s="16"/>
      <c r="G63" s="16">
        <f t="shared" si="0"/>
        <v>8289094</v>
      </c>
      <c r="H63" s="10">
        <f>G63/'Pop &amp; CPI'!C69</f>
        <v>5439038.0577427819</v>
      </c>
      <c r="I63" s="11">
        <f>H63/'Pop &amp; CPI'!B69</f>
        <v>2.7260233205141375</v>
      </c>
      <c r="J63" s="57">
        <v>2.6</v>
      </c>
      <c r="K63" s="262">
        <v>12069036</v>
      </c>
      <c r="L63" s="3"/>
      <c r="M63" s="3">
        <f>381242.17</f>
        <v>381242.17</v>
      </c>
      <c r="N63" s="3">
        <f t="shared" si="1"/>
        <v>12450278.17</v>
      </c>
      <c r="O63" s="10">
        <f>N63/'Pop &amp; CPI'!C69</f>
        <v>8169473.8648293959</v>
      </c>
      <c r="P63" s="12">
        <f>O63/'Pop &amp; CPI'!B69</f>
        <v>4.0945064247441376</v>
      </c>
      <c r="Q63" s="142" t="s">
        <v>114</v>
      </c>
      <c r="R63" s="286" t="s">
        <v>45</v>
      </c>
    </row>
    <row r="64" spans="1:18">
      <c r="A64" s="274">
        <v>1997</v>
      </c>
      <c r="B64" s="203">
        <f t="shared" si="3"/>
        <v>25182576.530000001</v>
      </c>
      <c r="C64" s="3">
        <f>B64/'Pop &amp; CPI'!C70</f>
        <v>16050080.643722117</v>
      </c>
      <c r="D64" s="404">
        <f>C64/'Pop &amp; CPI'!B70</f>
        <v>7.8565449309984015</v>
      </c>
      <c r="E64" s="194">
        <v>6563325</v>
      </c>
      <c r="F64" s="16"/>
      <c r="G64" s="16">
        <f t="shared" si="0"/>
        <v>6563325</v>
      </c>
      <c r="H64" s="10">
        <f>G64/'Pop &amp; CPI'!C70</f>
        <v>4183126.1950286808</v>
      </c>
      <c r="I64" s="11">
        <f>H64/'Pop &amp; CPI'!B70</f>
        <v>2.0476482101748261</v>
      </c>
      <c r="J64" s="57">
        <v>2.6</v>
      </c>
      <c r="K64" s="262">
        <v>17217291</v>
      </c>
      <c r="L64" s="3"/>
      <c r="M64" s="3">
        <f>352356.99+1049603.54</f>
        <v>1401960.53</v>
      </c>
      <c r="N64" s="3">
        <f t="shared" si="1"/>
        <v>18619251.530000001</v>
      </c>
      <c r="O64" s="10">
        <f>N64/'Pop &amp; CPI'!C70</f>
        <v>11866954.448693436</v>
      </c>
      <c r="P64" s="12">
        <f>O64/'Pop &amp; CPI'!B70</f>
        <v>5.8088967208235749</v>
      </c>
      <c r="Q64" s="88" t="s">
        <v>114</v>
      </c>
      <c r="R64" s="284"/>
    </row>
    <row r="65" spans="1:19">
      <c r="A65" s="274">
        <v>1998</v>
      </c>
      <c r="B65" s="203">
        <f t="shared" si="3"/>
        <v>24549019.710000001</v>
      </c>
      <c r="C65" s="3">
        <f>B65/'Pop &amp; CPI'!C71</f>
        <v>15295339.383177571</v>
      </c>
      <c r="D65" s="404">
        <f>C65/'Pop &amp; CPI'!B71</f>
        <v>7.2855453049775303</v>
      </c>
      <c r="E65" s="194">
        <v>9019651</v>
      </c>
      <c r="F65" s="16"/>
      <c r="G65" s="16">
        <f t="shared" si="0"/>
        <v>9019651</v>
      </c>
      <c r="H65" s="10">
        <f>G65/'Pop &amp; CPI'!C71</f>
        <v>5619720.2492211843</v>
      </c>
      <c r="I65" s="11">
        <f>H65/'Pop &amp; CPI'!B71</f>
        <v>2.6768105925149337</v>
      </c>
      <c r="J65" s="57">
        <v>2.6</v>
      </c>
      <c r="K65" s="262">
        <v>13988964</v>
      </c>
      <c r="L65" s="3"/>
      <c r="M65" s="3">
        <f>457681.88+1082722.83</f>
        <v>1540404.71</v>
      </c>
      <c r="N65" s="3">
        <f t="shared" si="1"/>
        <v>15529368.710000001</v>
      </c>
      <c r="O65" s="10">
        <f>N65/'Pop &amp; CPI'!C71</f>
        <v>9675619.1339563876</v>
      </c>
      <c r="P65" s="12">
        <f>O65/'Pop &amp; CPI'!B71</f>
        <v>4.6087347124625966</v>
      </c>
      <c r="Q65" s="88" t="s">
        <v>114</v>
      </c>
      <c r="R65" s="284"/>
    </row>
    <row r="66" spans="1:19">
      <c r="A66" s="274">
        <v>1999</v>
      </c>
      <c r="B66" s="203">
        <f t="shared" si="3"/>
        <v>13382269.629999999</v>
      </c>
      <c r="C66" s="3">
        <f>B66/'Pop &amp; CPI'!C72</f>
        <v>8209981.3680981593</v>
      </c>
      <c r="D66" s="404">
        <f>C66/'Pop &amp; CPI'!B72</f>
        <v>3.8335163875484488</v>
      </c>
      <c r="E66" s="414">
        <v>5111658</v>
      </c>
      <c r="F66" s="16"/>
      <c r="G66" s="16">
        <f t="shared" si="0"/>
        <v>5111658</v>
      </c>
      <c r="H66" s="10">
        <f>G66/'Pop &amp; CPI'!C72</f>
        <v>3135986.5030674851</v>
      </c>
      <c r="I66" s="11">
        <f>H66/'Pop &amp; CPI'!B72</f>
        <v>1.4642975558207409</v>
      </c>
      <c r="J66" s="57">
        <v>2.6</v>
      </c>
      <c r="K66" s="262">
        <v>7942551</v>
      </c>
      <c r="L66" s="3"/>
      <c r="M66" s="3">
        <f>229997.21+98063.42</f>
        <v>328060.63</v>
      </c>
      <c r="N66" s="3">
        <f t="shared" si="1"/>
        <v>8270611.6299999999</v>
      </c>
      <c r="O66" s="10">
        <f>N66/'Pop &amp; CPI'!C72</f>
        <v>5073994.8650306752</v>
      </c>
      <c r="P66" s="12">
        <f>O66/'Pop &amp; CPI'!B72</f>
        <v>2.3692188317277081</v>
      </c>
      <c r="Q66" s="88" t="s">
        <v>114</v>
      </c>
      <c r="R66" s="284"/>
    </row>
    <row r="67" spans="1:19">
      <c r="A67" s="275">
        <v>2000</v>
      </c>
      <c r="B67" s="204">
        <f t="shared" si="3"/>
        <v>24237190</v>
      </c>
      <c r="C67" s="7">
        <f>B67/'Pop &amp; CPI'!C73</f>
        <v>14548133.253301321</v>
      </c>
      <c r="D67" s="405">
        <f>C67/'Pop &amp; CPI'!B73</f>
        <v>6.633853342158929</v>
      </c>
      <c r="E67" s="415">
        <v>5698005</v>
      </c>
      <c r="F67" s="18"/>
      <c r="G67" s="18">
        <f t="shared" si="0"/>
        <v>5698005</v>
      </c>
      <c r="H67" s="13">
        <f>G67/'Pop &amp; CPI'!C73</f>
        <v>3420171.0684273713</v>
      </c>
      <c r="I67" s="14">
        <f>H67/'Pop &amp; CPI'!B73</f>
        <v>1.559575574267821</v>
      </c>
      <c r="J67" s="61">
        <v>2.6</v>
      </c>
      <c r="K67" s="272">
        <v>17312540</v>
      </c>
      <c r="L67" s="7"/>
      <c r="M67" s="7">
        <f>786005+440640</f>
        <v>1226645</v>
      </c>
      <c r="N67" s="7">
        <f t="shared" si="1"/>
        <v>18539185</v>
      </c>
      <c r="O67" s="13">
        <f>N67/'Pop &amp; CPI'!C73</f>
        <v>11127962.18487395</v>
      </c>
      <c r="P67" s="15">
        <f>O67/'Pop &amp; CPI'!B73</f>
        <v>5.0742777678911075</v>
      </c>
      <c r="Q67" s="90" t="s">
        <v>114</v>
      </c>
      <c r="R67" s="285"/>
    </row>
    <row r="68" spans="1:19">
      <c r="A68" s="274">
        <v>2001</v>
      </c>
      <c r="B68" s="203">
        <f t="shared" si="3"/>
        <v>48892100</v>
      </c>
      <c r="C68" s="3">
        <f>B68/'Pop &amp; CPI'!C74</f>
        <v>28392624.854819976</v>
      </c>
      <c r="D68" s="404">
        <f>C68/'Pop &amp; CPI'!B74</f>
        <v>12.638784462907985</v>
      </c>
      <c r="E68" s="416">
        <v>6203714</v>
      </c>
      <c r="F68" s="16"/>
      <c r="G68" s="16">
        <f t="shared" si="0"/>
        <v>6203714</v>
      </c>
      <c r="H68" s="10">
        <f>G68/'Pop &amp; CPI'!C74</f>
        <v>3602621.3704994195</v>
      </c>
      <c r="I68" s="11">
        <f>H68/'Pop &amp; CPI'!B74</f>
        <v>1.60368247867293</v>
      </c>
      <c r="J68" s="57">
        <v>2.6</v>
      </c>
      <c r="K68" s="262">
        <v>39357798</v>
      </c>
      <c r="L68" s="3"/>
      <c r="M68" s="3">
        <f>1845337+1485251</f>
        <v>3330588</v>
      </c>
      <c r="N68" s="3">
        <f t="shared" si="1"/>
        <v>42688386</v>
      </c>
      <c r="O68" s="10">
        <f>N68/'Pop &amp; CPI'!C74</f>
        <v>24790003.484320559</v>
      </c>
      <c r="P68" s="12">
        <f>O68/'Pop &amp; CPI'!B74</f>
        <v>11.035101984235057</v>
      </c>
      <c r="Q68" s="142" t="s">
        <v>114</v>
      </c>
      <c r="R68" s="286"/>
    </row>
    <row r="69" spans="1:19">
      <c r="A69" s="274">
        <v>2002</v>
      </c>
      <c r="B69" s="203">
        <f t="shared" si="3"/>
        <v>27545817</v>
      </c>
      <c r="C69" s="3">
        <f>B69/'Pop &amp; CPI'!C75</f>
        <v>15553821.005081875</v>
      </c>
      <c r="D69" s="404">
        <f>C69/'Pop &amp; CPI'!B75</f>
        <v>6.7901816724460895</v>
      </c>
      <c r="E69" s="416">
        <v>4952500</v>
      </c>
      <c r="F69" s="16"/>
      <c r="G69" s="16">
        <f t="shared" si="0"/>
        <v>4952500</v>
      </c>
      <c r="H69" s="10">
        <f>G69/'Pop &amp; CPI'!C75</f>
        <v>2796442.6877470356</v>
      </c>
      <c r="I69" s="11">
        <f>H69/'Pop &amp; CPI'!B75</f>
        <v>1.2208160220039672</v>
      </c>
      <c r="J69" s="57">
        <v>2.6</v>
      </c>
      <c r="K69" s="262">
        <v>18893082</v>
      </c>
      <c r="L69" s="3"/>
      <c r="M69" s="3">
        <f>2554862+1145373</f>
        <v>3700235</v>
      </c>
      <c r="N69" s="3">
        <f t="shared" si="1"/>
        <v>22593317</v>
      </c>
      <c r="O69" s="10">
        <f>N69/'Pop &amp; CPI'!C75</f>
        <v>12757378.31733484</v>
      </c>
      <c r="P69" s="12">
        <f>O69/'Pop &amp; CPI'!B75</f>
        <v>5.5693656504421218</v>
      </c>
      <c r="Q69" s="88" t="s">
        <v>114</v>
      </c>
      <c r="R69" s="284"/>
    </row>
    <row r="70" spans="1:19">
      <c r="A70" s="274">
        <v>2003</v>
      </c>
      <c r="B70" s="203">
        <f t="shared" si="3"/>
        <v>35204751</v>
      </c>
      <c r="C70" s="3">
        <f>B70/'Pop &amp; CPI'!C76</f>
        <v>19569066.703724291</v>
      </c>
      <c r="D70" s="404">
        <f>C70/'Pop &amp; CPI'!B76</f>
        <v>8.3921642111050705</v>
      </c>
      <c r="E70" s="416">
        <v>5833936</v>
      </c>
      <c r="F70" s="16"/>
      <c r="G70" s="16">
        <f t="shared" si="0"/>
        <v>5833936</v>
      </c>
      <c r="H70" s="10">
        <f>G70/'Pop &amp; CPI'!C76</f>
        <v>3242877.1539744302</v>
      </c>
      <c r="I70" s="11">
        <f>H70/'Pop &amp; CPI'!B76</f>
        <v>1.3907028886265229</v>
      </c>
      <c r="J70" s="57">
        <v>2.6</v>
      </c>
      <c r="K70" s="411">
        <v>26745279</v>
      </c>
      <c r="L70" s="20"/>
      <c r="M70" s="20">
        <f>1686135+939401</f>
        <v>2625536</v>
      </c>
      <c r="N70" s="20">
        <f t="shared" si="1"/>
        <v>29370815</v>
      </c>
      <c r="O70" s="10">
        <f>N70/'Pop &amp; CPI'!C76</f>
        <v>16326189.549749861</v>
      </c>
      <c r="P70" s="12">
        <f>O70/'Pop &amp; CPI'!B76</f>
        <v>7.0014613224785469</v>
      </c>
      <c r="Q70" s="88" t="s">
        <v>114</v>
      </c>
      <c r="R70" s="284"/>
    </row>
    <row r="71" spans="1:19">
      <c r="A71" s="274">
        <v>2004</v>
      </c>
      <c r="B71" s="203">
        <f t="shared" si="3"/>
        <v>46902337</v>
      </c>
      <c r="C71" s="3">
        <f>B71/'Pop &amp; CPI'!C77</f>
        <v>25490400.543478258</v>
      </c>
      <c r="D71" s="404">
        <f>C71/'Pop &amp; CPI'!B77</f>
        <v>10.74430002279419</v>
      </c>
      <c r="E71" s="416">
        <v>6026484</v>
      </c>
      <c r="F71" s="16"/>
      <c r="G71" s="16">
        <f t="shared" si="0"/>
        <v>6026484</v>
      </c>
      <c r="H71" s="10">
        <f>G71/'Pop &amp; CPI'!C77</f>
        <v>3275263.0434782607</v>
      </c>
      <c r="I71" s="11">
        <f>H71/'Pop &amp; CPI'!B77</f>
        <v>1.3805357327625023</v>
      </c>
      <c r="J71" s="57">
        <v>2.6</v>
      </c>
      <c r="K71" s="411">
        <v>36659808</v>
      </c>
      <c r="L71" s="20"/>
      <c r="M71" s="20">
        <f>3000000+1216045</f>
        <v>4216045</v>
      </c>
      <c r="N71" s="20">
        <f t="shared" si="1"/>
        <v>40875853</v>
      </c>
      <c r="O71" s="10">
        <f>N71/'Pop &amp; CPI'!C77</f>
        <v>22215137.5</v>
      </c>
      <c r="P71" s="12">
        <f>O71/'Pop &amp; CPI'!B77</f>
        <v>9.3637642900316891</v>
      </c>
      <c r="Q71" s="88" t="s">
        <v>114</v>
      </c>
      <c r="R71" s="284"/>
    </row>
    <row r="72" spans="1:19">
      <c r="A72" s="275">
        <v>2005</v>
      </c>
      <c r="B72" s="204">
        <f t="shared" si="3"/>
        <v>69383176</v>
      </c>
      <c r="C72" s="7">
        <f>B72/'Pop &amp; CPI'!C78</f>
        <v>36730109.05240868</v>
      </c>
      <c r="D72" s="405">
        <f>C72/'Pop &amp; CPI'!B78</f>
        <v>15.113884220669741</v>
      </c>
      <c r="E72" s="415">
        <v>11447429</v>
      </c>
      <c r="F72" s="18"/>
      <c r="G72" s="18">
        <f t="shared" si="0"/>
        <v>11447429</v>
      </c>
      <c r="H72" s="13">
        <f>G72/'Pop &amp; CPI'!C78</f>
        <v>6060047.1148755951</v>
      </c>
      <c r="I72" s="14">
        <f>H72/'Pop &amp; CPI'!B78</f>
        <v>2.4936177111629654</v>
      </c>
      <c r="J72" s="61">
        <v>2.6</v>
      </c>
      <c r="K72" s="412">
        <v>53484320</v>
      </c>
      <c r="L72" s="21"/>
      <c r="M72" s="21">
        <f>3000000+1451427</f>
        <v>4451427</v>
      </c>
      <c r="N72" s="21">
        <f t="shared" si="1"/>
        <v>57935747</v>
      </c>
      <c r="O72" s="13">
        <f>N72/'Pop &amp; CPI'!C78</f>
        <v>30670061.937533084</v>
      </c>
      <c r="P72" s="15">
        <f>O72/'Pop &amp; CPI'!B78</f>
        <v>12.620266509506775</v>
      </c>
      <c r="Q72" s="90" t="s">
        <v>114</v>
      </c>
      <c r="R72" s="285"/>
    </row>
    <row r="73" spans="1:19">
      <c r="A73" s="274">
        <v>2006</v>
      </c>
      <c r="B73" s="203">
        <f t="shared" si="3"/>
        <v>93544743</v>
      </c>
      <c r="C73" s="3">
        <f>B73/'Pop &amp; CPI'!C79</f>
        <v>47897973.886328727</v>
      </c>
      <c r="D73" s="404">
        <f>C73/'Pop &amp; CPI'!B79</f>
        <v>19.114515109816828</v>
      </c>
      <c r="E73" s="416">
        <v>17042798</v>
      </c>
      <c r="F73" s="16"/>
      <c r="G73" s="16">
        <f t="shared" si="0"/>
        <v>17042798</v>
      </c>
      <c r="H73" s="10">
        <f>G73/'Pop &amp; CPI'!C79</f>
        <v>8726471.0701484885</v>
      </c>
      <c r="I73" s="11">
        <f>H73/'Pop &amp; CPI'!B79</f>
        <v>3.4824492476777231</v>
      </c>
      <c r="J73" s="57">
        <v>2.6</v>
      </c>
      <c r="K73" s="411">
        <v>71513869</v>
      </c>
      <c r="L73" s="20"/>
      <c r="M73" s="20">
        <f>3000000+1988076</f>
        <v>4988076</v>
      </c>
      <c r="N73" s="20">
        <f t="shared" si="1"/>
        <v>76501945</v>
      </c>
      <c r="O73" s="10">
        <f>N73/'Pop &amp; CPI'!C79</f>
        <v>39171502.816180237</v>
      </c>
      <c r="P73" s="12">
        <f>O73/'Pop &amp; CPI'!B79</f>
        <v>15.632065862139104</v>
      </c>
      <c r="Q73" s="142" t="s">
        <v>114</v>
      </c>
      <c r="R73" s="286"/>
    </row>
    <row r="74" spans="1:19">
      <c r="A74" s="274">
        <v>2007</v>
      </c>
      <c r="B74" s="203">
        <f t="shared" si="3"/>
        <v>96034372</v>
      </c>
      <c r="C74" s="3">
        <f>B74/'Pop &amp; CPI'!C80</f>
        <v>47636097.222222224</v>
      </c>
      <c r="D74" s="404">
        <f>C74/'Pop &amp; CPI'!B80</f>
        <v>18.490629995323484</v>
      </c>
      <c r="E74" s="416">
        <v>23604499</v>
      </c>
      <c r="F74" s="16"/>
      <c r="G74" s="16">
        <f t="shared" si="0"/>
        <v>23604499</v>
      </c>
      <c r="H74" s="10">
        <f>G74/'Pop &amp; CPI'!C80</f>
        <v>11708580.853174603</v>
      </c>
      <c r="I74" s="11">
        <f>H74/'Pop &amp; CPI'!B80</f>
        <v>4.5448525162843065</v>
      </c>
      <c r="J74" s="57">
        <v>2.6</v>
      </c>
      <c r="K74" s="411">
        <v>65429873</v>
      </c>
      <c r="L74" s="20"/>
      <c r="M74" s="20">
        <f>5000000+2000000</f>
        <v>7000000</v>
      </c>
      <c r="N74" s="20">
        <f t="shared" si="1"/>
        <v>72429873</v>
      </c>
      <c r="O74" s="10">
        <f>N74/'Pop &amp; CPI'!C80</f>
        <v>35927516.369047619</v>
      </c>
      <c r="P74" s="12">
        <f>O74/'Pop &amp; CPI'!B80</f>
        <v>13.945777479039176</v>
      </c>
      <c r="Q74" s="88" t="s">
        <v>114</v>
      </c>
      <c r="R74" s="284"/>
    </row>
    <row r="75" spans="1:19">
      <c r="A75" s="274">
        <v>2008</v>
      </c>
      <c r="B75" s="203">
        <f t="shared" si="3"/>
        <v>100044218</v>
      </c>
      <c r="C75" s="3">
        <f>B75/'Pop &amp; CPI'!C81</f>
        <v>48250821.348303765</v>
      </c>
      <c r="D75" s="404">
        <f>C75/'Pop &amp; CPI'!B81</f>
        <v>18.304039660595304</v>
      </c>
      <c r="E75" s="416">
        <v>26547270</v>
      </c>
      <c r="F75" s="16"/>
      <c r="G75" s="16">
        <f t="shared" si="0"/>
        <v>26547270</v>
      </c>
      <c r="H75" s="10">
        <f>G75/'Pop &amp; CPI'!C81</f>
        <v>12803614.318372544</v>
      </c>
      <c r="I75" s="11">
        <f>H75/'Pop &amp; CPI'!B81</f>
        <v>4.8570751281251647</v>
      </c>
      <c r="J75" s="57">
        <v>2.6</v>
      </c>
      <c r="K75" s="411">
        <v>65510506</v>
      </c>
      <c r="L75" s="20"/>
      <c r="M75" s="20">
        <f>5798031+2188411</f>
        <v>7986442</v>
      </c>
      <c r="N75" s="20">
        <f t="shared" si="1"/>
        <v>73496948</v>
      </c>
      <c r="O75" s="10">
        <f>N75/'Pop &amp; CPI'!C81</f>
        <v>35447207.029931225</v>
      </c>
      <c r="P75" s="12">
        <f>O75/'Pop &amp; CPI'!B81</f>
        <v>13.44696453247014</v>
      </c>
      <c r="Q75" s="88" t="s">
        <v>114</v>
      </c>
      <c r="R75" s="284"/>
    </row>
    <row r="76" spans="1:19">
      <c r="A76" s="274">
        <v>2009</v>
      </c>
      <c r="B76" s="203">
        <f t="shared" si="3"/>
        <v>117498131</v>
      </c>
      <c r="C76" s="3">
        <f>B76/'Pop &amp; CPI'!C82</f>
        <v>54573383.092664763</v>
      </c>
      <c r="D76" s="404">
        <f>C76/'Pop &amp; CPI'!B82</f>
        <v>20.279044611379479</v>
      </c>
      <c r="E76" s="416">
        <v>14573697</v>
      </c>
      <c r="F76" s="16">
        <v>0</v>
      </c>
      <c r="G76" s="16">
        <f t="shared" si="0"/>
        <v>14573697</v>
      </c>
      <c r="H76" s="10">
        <f>G76/'Pop &amp; CPI'!C82</f>
        <v>6768924.2602286087</v>
      </c>
      <c r="I76" s="11">
        <f>H76/'Pop &amp; CPI'!B82</f>
        <v>2.5152795972195272</v>
      </c>
      <c r="J76" s="57">
        <v>2.6</v>
      </c>
      <c r="K76" s="411">
        <v>70995789</v>
      </c>
      <c r="L76" s="20">
        <v>23016781</v>
      </c>
      <c r="M76" s="20">
        <f>6000000+2911864</f>
        <v>8911864</v>
      </c>
      <c r="N76" s="20">
        <f t="shared" si="1"/>
        <v>102924434</v>
      </c>
      <c r="O76" s="10">
        <f>N76/'Pop &amp; CPI'!C82</f>
        <v>47804458.832436152</v>
      </c>
      <c r="P76" s="12">
        <f>O76/'Pop &amp; CPI'!B82</f>
        <v>17.763765014159951</v>
      </c>
      <c r="Q76" s="88" t="s">
        <v>114</v>
      </c>
      <c r="R76" s="284" t="s">
        <v>53</v>
      </c>
    </row>
    <row r="77" spans="1:19">
      <c r="A77" s="275">
        <v>2010</v>
      </c>
      <c r="B77" s="204">
        <f t="shared" si="3"/>
        <v>84226878</v>
      </c>
      <c r="C77" s="7">
        <f>B77/'Pop &amp; CPI'!C83</f>
        <v>39259837.696993984</v>
      </c>
      <c r="D77" s="405">
        <f>C77/'Pop &amp; CPI'!B83</f>
        <v>14.372679969319357</v>
      </c>
      <c r="E77" s="415">
        <v>20865384</v>
      </c>
      <c r="F77" s="18">
        <v>0</v>
      </c>
      <c r="G77" s="18">
        <f t="shared" si="0"/>
        <v>20865384</v>
      </c>
      <c r="H77" s="13">
        <f>G77/'Pop &amp; CPI'!C83</f>
        <v>9725774.1088949684</v>
      </c>
      <c r="I77" s="14">
        <f>H77/'Pop &amp; CPI'!B83</f>
        <v>3.5605200357652653</v>
      </c>
      <c r="J77" s="61">
        <v>2.6</v>
      </c>
      <c r="K77" s="412">
        <v>56200970</v>
      </c>
      <c r="L77" s="21">
        <v>0</v>
      </c>
      <c r="M77" s="21">
        <f>5757922+1402602</f>
        <v>7160524</v>
      </c>
      <c r="N77" s="21">
        <f t="shared" si="1"/>
        <v>63361494</v>
      </c>
      <c r="O77" s="13">
        <f>N77/'Pop &amp; CPI'!C83</f>
        <v>29534063.588099018</v>
      </c>
      <c r="P77" s="15">
        <f>O77/'Pop &amp; CPI'!B83</f>
        <v>10.812159933554092</v>
      </c>
      <c r="Q77" s="90" t="s">
        <v>114</v>
      </c>
      <c r="R77" s="285"/>
    </row>
    <row r="78" spans="1:19">
      <c r="A78" s="274">
        <v>2011</v>
      </c>
      <c r="B78" s="194">
        <f t="shared" si="3"/>
        <v>94964481</v>
      </c>
      <c r="C78" s="3">
        <f>B78/'Pop &amp; CPI'!C84</f>
        <v>43550501.247385986</v>
      </c>
      <c r="D78" s="404">
        <f>C78/'Pop &amp; CPI'!B84</f>
        <v>15.707081856645146</v>
      </c>
      <c r="E78" s="417">
        <v>27118296</v>
      </c>
      <c r="F78" s="3">
        <v>0</v>
      </c>
      <c r="G78" s="3">
        <f t="shared" si="0"/>
        <v>27118296</v>
      </c>
      <c r="H78" s="10">
        <f>G78/'Pop &amp; CPI'!C84</f>
        <v>12436390.651942618</v>
      </c>
      <c r="I78" s="11">
        <f>H78/'Pop &amp; CPI'!B84</f>
        <v>4.4853537933275565</v>
      </c>
      <c r="J78" s="57">
        <v>2.6</v>
      </c>
      <c r="K78" s="24">
        <v>59855286</v>
      </c>
      <c r="L78" s="133">
        <v>0</v>
      </c>
      <c r="M78" s="24">
        <f>6099949+1890950</f>
        <v>7990899</v>
      </c>
      <c r="N78" s="133">
        <f t="shared" si="1"/>
        <v>67846185</v>
      </c>
      <c r="O78" s="10">
        <f>N78/'Pop &amp; CPI'!C84</f>
        <v>31114110.595443368</v>
      </c>
      <c r="P78" s="12">
        <f>O78/'Pop &amp; CPI'!B84</f>
        <v>11.22172806331759</v>
      </c>
      <c r="Q78" s="142" t="s">
        <v>114</v>
      </c>
      <c r="R78" s="284"/>
      <c r="S78" s="23" t="s">
        <v>17</v>
      </c>
    </row>
    <row r="79" spans="1:19">
      <c r="A79" s="274">
        <v>2012</v>
      </c>
      <c r="B79" s="194">
        <f t="shared" si="3"/>
        <v>99759378</v>
      </c>
      <c r="C79" s="3">
        <f>B79/'Pop &amp; CPI'!C85</f>
        <v>44349524.982328542</v>
      </c>
      <c r="D79" s="404">
        <f>C79/'Pop &amp; CPI'!B85</f>
        <v>15.715129307427912</v>
      </c>
      <c r="E79" s="417">
        <v>25401211</v>
      </c>
      <c r="F79" s="3">
        <v>0</v>
      </c>
      <c r="G79" s="3">
        <f t="shared" si="0"/>
        <v>25401211</v>
      </c>
      <c r="H79" s="10">
        <f>G79/'Pop &amp; CPI'!C85</f>
        <v>11292488.630250867</v>
      </c>
      <c r="I79" s="11">
        <f>H79/'Pop &amp; CPI'!B85</f>
        <v>4.0014615511161287</v>
      </c>
      <c r="J79" s="57">
        <v>2.6</v>
      </c>
      <c r="K79" s="24">
        <v>65540973</v>
      </c>
      <c r="L79" s="22">
        <v>0</v>
      </c>
      <c r="M79" s="24">
        <f>6247958+2569236</f>
        <v>8817194</v>
      </c>
      <c r="N79" s="22">
        <f t="shared" si="1"/>
        <v>74358167</v>
      </c>
      <c r="O79" s="10">
        <f>N79/'Pop &amp; CPI'!C85</f>
        <v>33057036.352077674</v>
      </c>
      <c r="P79" s="12">
        <f>O79/'Pop &amp; CPI'!B85</f>
        <v>11.713667756311782</v>
      </c>
      <c r="Q79" s="88" t="s">
        <v>114</v>
      </c>
      <c r="R79" s="284"/>
      <c r="S79" s="23"/>
    </row>
    <row r="80" spans="1:19">
      <c r="A80" s="274">
        <v>2013</v>
      </c>
      <c r="B80" s="194">
        <f t="shared" si="3"/>
        <v>79023320</v>
      </c>
      <c r="C80" s="3">
        <f>B80/'Pop &amp; CPI'!C86</f>
        <v>34418721.743599571</v>
      </c>
      <c r="D80" s="404">
        <f>C80/'Pop &amp; CPI'!B86</f>
        <v>12.003441769008784</v>
      </c>
      <c r="E80" s="417">
        <v>16940927</v>
      </c>
      <c r="F80" s="3">
        <v>0</v>
      </c>
      <c r="G80" s="3">
        <f t="shared" si="0"/>
        <v>16940927</v>
      </c>
      <c r="H80" s="10">
        <f>G80/'Pop &amp; CPI'!C86</f>
        <v>7378645.347874945</v>
      </c>
      <c r="I80" s="11">
        <f>H80/'Pop &amp; CPI'!B86</f>
        <v>2.5732838199854005</v>
      </c>
      <c r="J80" s="57">
        <v>2.6</v>
      </c>
      <c r="K80" s="24">
        <v>53164253</v>
      </c>
      <c r="L80" s="22">
        <v>0</v>
      </c>
      <c r="M80" s="24">
        <f>7529599+1388541</f>
        <v>8918140</v>
      </c>
      <c r="N80" s="22">
        <f t="shared" si="1"/>
        <v>62082393</v>
      </c>
      <c r="O80" s="10">
        <f>N80/'Pop &amp; CPI'!C86</f>
        <v>27040076.395724628</v>
      </c>
      <c r="P80" s="12">
        <f>O80/'Pop &amp; CPI'!B86</f>
        <v>9.4301579490233856</v>
      </c>
      <c r="Q80" s="88" t="s">
        <v>114</v>
      </c>
      <c r="R80" s="284"/>
      <c r="S80" s="23"/>
    </row>
    <row r="81" spans="1:19">
      <c r="A81" s="274">
        <v>2014</v>
      </c>
      <c r="B81" s="194">
        <f t="shared" si="3"/>
        <v>114356692</v>
      </c>
      <c r="C81" s="3">
        <f>B81/'Pop &amp; CPI'!C87</f>
        <v>49089184.699322194</v>
      </c>
      <c r="D81" s="404">
        <f>C81/'Pop &amp; CPI'!B87</f>
        <v>16.892228647191221</v>
      </c>
      <c r="E81" s="197">
        <v>15850801</v>
      </c>
      <c r="F81" s="3">
        <v>0</v>
      </c>
      <c r="G81" s="3">
        <f t="shared" si="0"/>
        <v>15850801</v>
      </c>
      <c r="H81" s="10">
        <f>G81/'Pop &amp; CPI'!C87</f>
        <v>6804174.5901604164</v>
      </c>
      <c r="I81" s="11">
        <f>H81/'Pop &amp; CPI'!B87</f>
        <v>2.341405212500614</v>
      </c>
      <c r="J81" s="57">
        <v>2.6</v>
      </c>
      <c r="K81" s="39">
        <v>89159562</v>
      </c>
      <c r="L81" s="38">
        <v>0</v>
      </c>
      <c r="M81" s="39">
        <f>6517212+2829117</f>
        <v>9346329</v>
      </c>
      <c r="N81" s="38">
        <f t="shared" si="1"/>
        <v>98505891</v>
      </c>
      <c r="O81" s="10">
        <f>N81/'Pop &amp; CPI'!C87</f>
        <v>42285010.109161779</v>
      </c>
      <c r="P81" s="12">
        <f>O81/'Pop &amp; CPI'!B87</f>
        <v>14.550823434690608</v>
      </c>
      <c r="Q81" s="88" t="s">
        <v>114</v>
      </c>
      <c r="R81" s="284"/>
      <c r="S81" s="23"/>
    </row>
    <row r="82" spans="1:19">
      <c r="A82" s="274">
        <v>2015</v>
      </c>
      <c r="B82" s="195">
        <f t="shared" si="3"/>
        <v>95355351</v>
      </c>
      <c r="C82" s="7">
        <f>B82/'Pop &amp; CPI'!C88</f>
        <v>40279193.278588817</v>
      </c>
      <c r="D82" s="405">
        <f>C82/'Pop &amp; CPI'!B88</f>
        <v>13.667913434697628</v>
      </c>
      <c r="E82" s="418">
        <v>16346625</v>
      </c>
      <c r="F82" s="7">
        <v>0</v>
      </c>
      <c r="G82" s="7">
        <f t="shared" si="0"/>
        <v>16346625</v>
      </c>
      <c r="H82" s="13">
        <f>G82/'Pop &amp; CPI'!C88</f>
        <v>6905001.7741281437</v>
      </c>
      <c r="I82" s="14">
        <f>H82/'Pop &amp; CPI'!B88</f>
        <v>2.3430699284979202</v>
      </c>
      <c r="J82" s="61">
        <v>2.6</v>
      </c>
      <c r="K82" s="158">
        <v>69685131</v>
      </c>
      <c r="L82" s="157">
        <v>0</v>
      </c>
      <c r="M82" s="158">
        <f>2703385+6620210</f>
        <v>9323595</v>
      </c>
      <c r="N82" s="157">
        <f t="shared" si="1"/>
        <v>79008726</v>
      </c>
      <c r="O82" s="13">
        <f>N82/'Pop &amp; CPI'!C88</f>
        <v>33374191.50446067</v>
      </c>
      <c r="P82" s="15">
        <f>O82/'Pop &amp; CPI'!B88</f>
        <v>11.324843506199706</v>
      </c>
      <c r="Q82" s="88" t="s">
        <v>114</v>
      </c>
      <c r="R82" s="285"/>
    </row>
    <row r="83" spans="1:19">
      <c r="A83" s="276">
        <v>2016</v>
      </c>
      <c r="B83" s="205">
        <f>G83+N83</f>
        <v>33949315</v>
      </c>
      <c r="C83" s="33">
        <f>B83/'Pop &amp; CPI'!C89</f>
        <v>14323578.055582512</v>
      </c>
      <c r="D83" s="407">
        <f>C83/'Pop &amp; CPI'!B89</f>
        <v>4.7684992712485483</v>
      </c>
      <c r="E83" s="198">
        <v>6977039</v>
      </c>
      <c r="F83" s="33">
        <v>0</v>
      </c>
      <c r="G83" s="33">
        <f t="shared" si="0"/>
        <v>6977039</v>
      </c>
      <c r="H83" s="34">
        <f>G83/'Pop &amp; CPI'!C89</f>
        <v>2943687.1616803859</v>
      </c>
      <c r="I83" s="35">
        <f>H83/'Pop &amp; CPI'!B89</f>
        <v>0.9799904765964409</v>
      </c>
      <c r="J83" s="160">
        <v>2.6</v>
      </c>
      <c r="K83" s="263">
        <v>20759297</v>
      </c>
      <c r="L83" s="174">
        <v>0</v>
      </c>
      <c r="M83" s="174">
        <f>1262721+4950258</f>
        <v>6212979</v>
      </c>
      <c r="N83" s="174">
        <f t="shared" si="1"/>
        <v>26972276</v>
      </c>
      <c r="O83" s="34">
        <f>N83/'Pop &amp; CPI'!C89</f>
        <v>11379890.893902125</v>
      </c>
      <c r="P83" s="36">
        <f>O83/'Pop &amp; CPI'!B89</f>
        <v>3.788508794652107</v>
      </c>
      <c r="Q83" s="142" t="s">
        <v>114</v>
      </c>
      <c r="R83" s="286"/>
    </row>
    <row r="84" spans="1:19">
      <c r="A84" s="274">
        <v>2017</v>
      </c>
      <c r="B84" s="194">
        <f t="shared" si="3"/>
        <v>26250222</v>
      </c>
      <c r="C84" s="3">
        <f>B84/'Pop &amp; CPI'!C90</f>
        <v>10937250.710915284</v>
      </c>
      <c r="D84" s="408">
        <f>C84/'Pop &amp; CPI'!B90</f>
        <v>3.5714824499198286</v>
      </c>
      <c r="E84" s="197">
        <v>6845003</v>
      </c>
      <c r="F84" s="3">
        <v>2281668</v>
      </c>
      <c r="G84" s="3">
        <f t="shared" si="0"/>
        <v>9126671</v>
      </c>
      <c r="H84" s="10">
        <f>G84/'Pop &amp; CPI'!C90</f>
        <v>3802660.7501848903</v>
      </c>
      <c r="I84" s="11">
        <f>H84/'Pop &amp; CPI'!B90</f>
        <v>1.2417321766913916</v>
      </c>
      <c r="J84" s="57">
        <v>2.6</v>
      </c>
      <c r="K84" s="261">
        <v>9294919</v>
      </c>
      <c r="L84" s="38">
        <v>3098306</v>
      </c>
      <c r="M84" s="38">
        <f>1253374+3476952</f>
        <v>4730326</v>
      </c>
      <c r="N84" s="38">
        <f t="shared" si="1"/>
        <v>17123551</v>
      </c>
      <c r="O84" s="10">
        <f>N84/'Pop &amp; CPI'!C90</f>
        <v>7134589.9607303943</v>
      </c>
      <c r="P84" s="12">
        <f>O84/'Pop &amp; CPI'!B90</f>
        <v>2.329750273228437</v>
      </c>
      <c r="Q84" s="88" t="s">
        <v>114</v>
      </c>
      <c r="R84" s="284"/>
    </row>
    <row r="85" spans="1:19">
      <c r="A85" s="274">
        <v>2018</v>
      </c>
      <c r="B85" s="194">
        <f t="shared" ref="B85:B92" si="4">G85+N85</f>
        <v>38234061</v>
      </c>
      <c r="C85" s="3">
        <f>B85/'Pop &amp; CPI'!C91</f>
        <v>15598131.115639513</v>
      </c>
      <c r="D85" s="408">
        <f>C85/'Pop &amp; CPI'!B91</f>
        <v>4.9954344315316783</v>
      </c>
      <c r="E85" s="197">
        <v>7618625</v>
      </c>
      <c r="F85" s="3">
        <v>2539542</v>
      </c>
      <c r="G85" s="3">
        <f t="shared" ref="G85:G92" si="5">F85+E85</f>
        <v>10158167</v>
      </c>
      <c r="H85" s="10">
        <f>G85/'Pop &amp; CPI'!C91</f>
        <v>4144169.2725384962</v>
      </c>
      <c r="I85" s="11">
        <f>H85/'Pop &amp; CPI'!B91</f>
        <v>1.3272055299867009</v>
      </c>
      <c r="J85" s="57">
        <v>2.6</v>
      </c>
      <c r="K85" s="261">
        <v>17422053</v>
      </c>
      <c r="L85" s="38">
        <v>5807351</v>
      </c>
      <c r="M85" s="38">
        <f>472336+4374154</f>
        <v>4846490</v>
      </c>
      <c r="N85" s="38">
        <f t="shared" ref="N85:N92" si="6">M85+L85+K85</f>
        <v>28075894</v>
      </c>
      <c r="O85" s="10">
        <f>N85/'Pop &amp; CPI'!C91</f>
        <v>11453961.843101017</v>
      </c>
      <c r="P85" s="12">
        <f>O85/'Pop &amp; CPI'!B91</f>
        <v>3.6682289015449774</v>
      </c>
      <c r="Q85" s="88" t="s">
        <v>114</v>
      </c>
      <c r="R85" s="284"/>
    </row>
    <row r="86" spans="1:19">
      <c r="A86" s="274">
        <v>2019</v>
      </c>
      <c r="B86" s="194">
        <f t="shared" si="4"/>
        <v>40609629</v>
      </c>
      <c r="C86" s="3">
        <f>B86/'Pop &amp; CPI'!C92</f>
        <v>16172240.917218555</v>
      </c>
      <c r="D86" s="408">
        <f>C86/'Pop &amp; CPI'!B92</f>
        <v>5.0914674602143117</v>
      </c>
      <c r="E86" s="197">
        <v>10035600</v>
      </c>
      <c r="F86" s="3">
        <v>3345200</v>
      </c>
      <c r="G86" s="3">
        <f t="shared" si="5"/>
        <v>13380800</v>
      </c>
      <c r="H86" s="10">
        <f>G86/'Pop &amp; CPI'!C92</f>
        <v>5328724.4083199585</v>
      </c>
      <c r="I86" s="11">
        <f>H86/'Pop &amp; CPI'!B92</f>
        <v>1.6776294063566959</v>
      </c>
      <c r="J86" s="57">
        <v>2.6</v>
      </c>
      <c r="K86" s="261">
        <v>14484438</v>
      </c>
      <c r="L86" s="38">
        <v>4828146</v>
      </c>
      <c r="M86" s="38">
        <v>7916245</v>
      </c>
      <c r="N86" s="38">
        <f t="shared" si="6"/>
        <v>27228829</v>
      </c>
      <c r="O86" s="10">
        <f>N86/'Pop &amp; CPI'!C92</f>
        <v>10843516.508898597</v>
      </c>
      <c r="P86" s="12">
        <f>O86/'Pop &amp; CPI'!B92</f>
        <v>3.4138380538576163</v>
      </c>
      <c r="Q86" s="88" t="s">
        <v>114</v>
      </c>
      <c r="R86" s="284"/>
    </row>
    <row r="87" spans="1:19">
      <c r="A87" s="274">
        <v>2020</v>
      </c>
      <c r="B87" s="194">
        <f t="shared" si="4"/>
        <v>47545926.61999999</v>
      </c>
      <c r="C87" s="3">
        <f>B87/'Pop &amp; CPI'!C93</f>
        <v>18597509.018902235</v>
      </c>
      <c r="D87" s="408">
        <f>C87/'Pop &amp; CPI'!B93</f>
        <v>5.7557679494924479</v>
      </c>
      <c r="E87" s="197">
        <v>10760892.84</v>
      </c>
      <c r="F87" s="3">
        <v>3586964.28</v>
      </c>
      <c r="G87" s="3">
        <f t="shared" si="5"/>
        <v>14347857.119999999</v>
      </c>
      <c r="H87" s="10">
        <f>G87/'Pop &amp; CPI'!C93</f>
        <v>5612140.1171489181</v>
      </c>
      <c r="I87" s="11">
        <f>H87/'Pop &amp; CPI'!B93</f>
        <v>1.7369087538290788</v>
      </c>
      <c r="J87" s="57">
        <v>2.6</v>
      </c>
      <c r="K87" s="261">
        <v>19531477.11999999</v>
      </c>
      <c r="L87" s="38">
        <v>6510492.379999999</v>
      </c>
      <c r="M87" s="38">
        <v>7156100</v>
      </c>
      <c r="N87" s="38">
        <f t="shared" si="6"/>
        <v>33198069.499999989</v>
      </c>
      <c r="O87" s="10">
        <f>N87/'Pop &amp; CPI'!C93</f>
        <v>12985368.901753316</v>
      </c>
      <c r="P87" s="12">
        <f>O87/'Pop &amp; CPI'!B93</f>
        <v>4.018859195663369</v>
      </c>
      <c r="Q87" s="88" t="s">
        <v>114</v>
      </c>
      <c r="R87" s="284"/>
    </row>
    <row r="88" spans="1:19">
      <c r="A88" s="276">
        <v>2021</v>
      </c>
      <c r="B88" s="205">
        <f t="shared" si="4"/>
        <v>33076124.160000004</v>
      </c>
      <c r="C88" s="33">
        <f>B88/'Pop &amp; CPI'!C94</f>
        <v>12780030.276920224</v>
      </c>
      <c r="D88" s="407">
        <f>C88/'Pop &amp; CPI'!B94</f>
        <v>3.8906298077309565</v>
      </c>
      <c r="E88" s="198">
        <v>10030053.779999999</v>
      </c>
      <c r="F88" s="33">
        <v>3343351.27</v>
      </c>
      <c r="G88" s="33">
        <f t="shared" si="5"/>
        <v>13373405.049999999</v>
      </c>
      <c r="H88" s="34">
        <f>G88/'Pop &amp; CPI'!C94</f>
        <v>5167247.5474380907</v>
      </c>
      <c r="I88" s="35">
        <f>H88/'Pop &amp; CPI'!B94</f>
        <v>1.5730672695113528</v>
      </c>
      <c r="J88" s="160">
        <v>2.6</v>
      </c>
      <c r="K88" s="263">
        <v>11432771.330000002</v>
      </c>
      <c r="L88" s="174">
        <v>3810923.7800000003</v>
      </c>
      <c r="M88" s="174">
        <f>4035963+423061</f>
        <v>4459024</v>
      </c>
      <c r="N88" s="174">
        <f t="shared" si="6"/>
        <v>19702719.110000003</v>
      </c>
      <c r="O88" s="34">
        <f>N88/'Pop &amp; CPI'!C94</f>
        <v>7612782.729482132</v>
      </c>
      <c r="P88" s="36">
        <f>O88/'Pop &amp; CPI'!B94</f>
        <v>2.3175625382196032</v>
      </c>
      <c r="Q88" s="142" t="s">
        <v>114</v>
      </c>
      <c r="R88" s="286"/>
    </row>
    <row r="89" spans="1:19">
      <c r="A89" s="274">
        <v>2022</v>
      </c>
      <c r="B89" s="194">
        <f t="shared" si="4"/>
        <v>91210089.299999982</v>
      </c>
      <c r="C89" s="3">
        <f>B89/'Pop &amp; CPI'!C95</f>
        <v>33660647.895796381</v>
      </c>
      <c r="D89" s="408">
        <f>C89/'Pop &amp; CPI'!B95</f>
        <v>10.07037166152007</v>
      </c>
      <c r="E89" s="197">
        <v>8631062.1300000008</v>
      </c>
      <c r="F89" s="3">
        <v>6888473</v>
      </c>
      <c r="G89" s="3">
        <f t="shared" si="5"/>
        <v>15519535.130000001</v>
      </c>
      <c r="H89" s="10">
        <f>G89/'Pop &amp; CPI'!C95</f>
        <v>5727410.3284687027</v>
      </c>
      <c r="I89" s="11">
        <f>H89/'Pop &amp; CPI'!B95</f>
        <v>1.7134890226789556</v>
      </c>
      <c r="J89" s="57">
        <v>2.6</v>
      </c>
      <c r="K89" s="261">
        <v>40341136.18</v>
      </c>
      <c r="L89" s="38">
        <v>27773968.989999998</v>
      </c>
      <c r="M89" s="38">
        <f>875457+6699992</f>
        <v>7575449</v>
      </c>
      <c r="N89" s="38">
        <f t="shared" si="6"/>
        <v>75690554.169999987</v>
      </c>
      <c r="O89" s="10">
        <f>N89/'Pop &amp; CPI'!C95</f>
        <v>27933237.567327682</v>
      </c>
      <c r="P89" s="12">
        <f>O89/'Pop &amp; CPI'!B95</f>
        <v>8.3568826388411157</v>
      </c>
      <c r="Q89" s="88" t="s">
        <v>114</v>
      </c>
      <c r="R89" s="335" t="s">
        <v>144</v>
      </c>
    </row>
    <row r="90" spans="1:19">
      <c r="A90" s="274">
        <v>2023</v>
      </c>
      <c r="B90" s="194">
        <f t="shared" si="4"/>
        <v>128947838</v>
      </c>
      <c r="C90" s="3">
        <f>B90/'Pop &amp; CPI'!C96</f>
        <v>44061382.173549064</v>
      </c>
      <c r="D90" s="408">
        <f>C90/'Pop &amp; CPI'!B96</f>
        <v>12.957350071298455</v>
      </c>
      <c r="E90" s="197">
        <v>6597279</v>
      </c>
      <c r="F90" s="3">
        <v>7635963</v>
      </c>
      <c r="G90" s="3">
        <f t="shared" si="5"/>
        <v>14233242</v>
      </c>
      <c r="H90" s="10">
        <f>G90/'Pop &amp; CPI'!C96</f>
        <v>4863488.4078522492</v>
      </c>
      <c r="I90" s="11">
        <f>H90/'Pop &amp; CPI'!B96</f>
        <v>1.4302302551478852</v>
      </c>
      <c r="J90" s="57">
        <v>2.6</v>
      </c>
      <c r="K90" s="261">
        <v>53128616</v>
      </c>
      <c r="L90" s="38">
        <v>52314498</v>
      </c>
      <c r="M90" s="38">
        <v>9271482</v>
      </c>
      <c r="N90" s="38">
        <f t="shared" si="6"/>
        <v>114714596</v>
      </c>
      <c r="O90" s="10">
        <f>N90/'Pop &amp; CPI'!C96</f>
        <v>39197893.765696816</v>
      </c>
      <c r="P90" s="12">
        <f>O90/'Pop &amp; CPI'!B96</f>
        <v>11.52711981615057</v>
      </c>
      <c r="Q90" s="88" t="s">
        <v>114</v>
      </c>
      <c r="R90" s="284"/>
      <c r="S90" s="25"/>
    </row>
    <row r="91" spans="1:19">
      <c r="A91" s="274">
        <v>2024</v>
      </c>
      <c r="B91" s="194">
        <f t="shared" si="4"/>
        <v>87986234.099999994</v>
      </c>
      <c r="C91" s="3">
        <f>B91/'Pop &amp; CPI'!C97</f>
        <v>28876159.034072634</v>
      </c>
      <c r="D91" s="408">
        <f>C91/'Pop &amp; CPI'!B97</f>
        <v>8.3542037697580618</v>
      </c>
      <c r="E91" s="197">
        <v>6236954.8099999996</v>
      </c>
      <c r="F91" s="3">
        <v>5480817.6899999995</v>
      </c>
      <c r="G91" s="3">
        <f t="shared" si="5"/>
        <v>11717772.5</v>
      </c>
      <c r="H91" s="10">
        <f>G91/'Pop &amp; CPI'!C97</f>
        <v>3845650.0121430121</v>
      </c>
      <c r="I91" s="11">
        <f>H91/'Pop &amp; CPI'!B97</f>
        <v>1.1125906250449165</v>
      </c>
      <c r="J91" s="57">
        <v>2.6</v>
      </c>
      <c r="K91" s="261">
        <v>33924877.909999996</v>
      </c>
      <c r="L91" s="38">
        <v>33235898.689999998</v>
      </c>
      <c r="M91" s="38">
        <v>9107685</v>
      </c>
      <c r="N91" s="38">
        <f t="shared" si="6"/>
        <v>76268461.599999994</v>
      </c>
      <c r="O91" s="10">
        <f>N91/'Pop &amp; CPI'!C97</f>
        <v>25030509.021929622</v>
      </c>
      <c r="P91" s="12">
        <f>O91/'Pop &amp; CPI'!B97</f>
        <v>7.2416131447131447</v>
      </c>
      <c r="Q91" s="88" t="s">
        <v>114</v>
      </c>
      <c r="R91" s="335" t="s">
        <v>152</v>
      </c>
      <c r="S91" s="25"/>
    </row>
    <row r="92" spans="1:19" ht="13.5" thickBot="1">
      <c r="A92" s="274">
        <v>2025</v>
      </c>
      <c r="B92" s="350">
        <f t="shared" si="4"/>
        <v>104137826.64999998</v>
      </c>
      <c r="C92" s="3">
        <f>B92/'Pop &amp; CPI'!C98</f>
        <v>33197793.563051298</v>
      </c>
      <c r="D92" s="409">
        <f>C92/'Pop &amp; CPI'!B98</f>
        <v>9.466588865254483</v>
      </c>
      <c r="E92" s="419">
        <v>11525988.699999997</v>
      </c>
      <c r="F92" s="342">
        <v>9315123.2300000004</v>
      </c>
      <c r="G92" s="342">
        <f t="shared" si="5"/>
        <v>20841111.93</v>
      </c>
      <c r="H92" s="347">
        <f>G92/'Pop &amp; CPI'!C98</f>
        <v>6643877.1936535873</v>
      </c>
      <c r="I92" s="348">
        <f>H92/'Pop &amp; CPI'!B98</f>
        <v>1.8945492188842448</v>
      </c>
      <c r="J92" s="327">
        <v>2.6</v>
      </c>
      <c r="K92" s="413">
        <v>34884877.919999987</v>
      </c>
      <c r="L92" s="341">
        <v>38835703.799999997</v>
      </c>
      <c r="M92" s="341">
        <v>9576133</v>
      </c>
      <c r="N92" s="341">
        <f t="shared" si="6"/>
        <v>83296714.719999984</v>
      </c>
      <c r="O92" s="347">
        <f>N92/'Pop &amp; CPI'!C98</f>
        <v>26553916.369397711</v>
      </c>
      <c r="P92" s="349">
        <f>O92/'Pop &amp; CPI'!B98</f>
        <v>7.5720396463702375</v>
      </c>
      <c r="Q92" s="324" t="s">
        <v>114</v>
      </c>
      <c r="R92" s="351" t="s">
        <v>152</v>
      </c>
      <c r="S92" s="25"/>
    </row>
    <row r="93" spans="1:19" ht="6" customHeight="1">
      <c r="A93" s="471"/>
      <c r="B93" s="472"/>
      <c r="C93" s="472"/>
      <c r="D93" s="472"/>
      <c r="E93" s="472"/>
      <c r="F93" s="472"/>
      <c r="G93" s="472"/>
      <c r="H93" s="472"/>
      <c r="I93" s="472"/>
      <c r="J93" s="472"/>
      <c r="K93" s="472"/>
      <c r="L93" s="472"/>
      <c r="M93" s="472"/>
      <c r="N93" s="472"/>
      <c r="O93" s="472"/>
      <c r="P93" s="472"/>
      <c r="Q93" s="472"/>
      <c r="R93" s="473"/>
    </row>
    <row r="94" spans="1:19" ht="13.15" customHeight="1">
      <c r="A94" s="453" t="s">
        <v>35</v>
      </c>
      <c r="B94" s="454"/>
      <c r="C94" s="454"/>
      <c r="D94" s="454"/>
      <c r="E94" s="454"/>
      <c r="F94" s="454"/>
      <c r="G94" s="454"/>
      <c r="H94" s="454"/>
      <c r="I94" s="454"/>
      <c r="J94" s="454"/>
      <c r="K94" s="454"/>
      <c r="L94" s="454"/>
      <c r="M94" s="454"/>
      <c r="N94" s="454"/>
      <c r="O94" s="454"/>
      <c r="P94" s="454"/>
      <c r="Q94" s="454"/>
      <c r="R94" s="455"/>
    </row>
    <row r="95" spans="1:19" ht="13.15" customHeight="1">
      <c r="A95" s="453" t="s">
        <v>36</v>
      </c>
      <c r="B95" s="454"/>
      <c r="C95" s="454"/>
      <c r="D95" s="454"/>
      <c r="E95" s="454"/>
      <c r="F95" s="454"/>
      <c r="G95" s="454"/>
      <c r="H95" s="454"/>
      <c r="I95" s="454"/>
      <c r="J95" s="454"/>
      <c r="K95" s="454"/>
      <c r="L95" s="454"/>
      <c r="M95" s="454"/>
      <c r="N95" s="454"/>
      <c r="O95" s="454"/>
      <c r="P95" s="454"/>
      <c r="Q95" s="454"/>
      <c r="R95" s="455"/>
    </row>
    <row r="96" spans="1:19" ht="13.15" customHeight="1">
      <c r="A96" s="430" t="s">
        <v>46</v>
      </c>
      <c r="B96" s="454"/>
      <c r="C96" s="454"/>
      <c r="D96" s="454"/>
      <c r="E96" s="454"/>
      <c r="F96" s="454"/>
      <c r="G96" s="454"/>
      <c r="H96" s="454"/>
      <c r="I96" s="454"/>
      <c r="J96" s="454"/>
      <c r="K96" s="454"/>
      <c r="L96" s="454"/>
      <c r="M96" s="454"/>
      <c r="N96" s="454"/>
      <c r="O96" s="454"/>
      <c r="P96" s="454"/>
      <c r="Q96" s="454"/>
      <c r="R96" s="455"/>
    </row>
    <row r="97" spans="1:18" ht="13.15" customHeight="1">
      <c r="A97" s="453" t="s">
        <v>47</v>
      </c>
      <c r="B97" s="454"/>
      <c r="C97" s="454"/>
      <c r="D97" s="454"/>
      <c r="E97" s="454"/>
      <c r="F97" s="454"/>
      <c r="G97" s="454"/>
      <c r="H97" s="454"/>
      <c r="I97" s="454"/>
      <c r="J97" s="454"/>
      <c r="K97" s="454"/>
      <c r="L97" s="454"/>
      <c r="M97" s="454"/>
      <c r="N97" s="454"/>
      <c r="O97" s="454"/>
      <c r="P97" s="454"/>
      <c r="Q97" s="454"/>
      <c r="R97" s="455"/>
    </row>
    <row r="98" spans="1:18" ht="13.15" customHeight="1">
      <c r="A98" s="453" t="s">
        <v>48</v>
      </c>
      <c r="B98" s="454"/>
      <c r="C98" s="454"/>
      <c r="D98" s="454"/>
      <c r="E98" s="454"/>
      <c r="F98" s="454"/>
      <c r="G98" s="454"/>
      <c r="H98" s="454"/>
      <c r="I98" s="454"/>
      <c r="J98" s="454"/>
      <c r="K98" s="454"/>
      <c r="L98" s="454"/>
      <c r="M98" s="454"/>
      <c r="N98" s="454"/>
      <c r="O98" s="454"/>
      <c r="P98" s="454"/>
      <c r="Q98" s="454"/>
      <c r="R98" s="455"/>
    </row>
    <row r="99" spans="1:18" ht="13.15" customHeight="1">
      <c r="A99" s="453" t="s">
        <v>49</v>
      </c>
      <c r="B99" s="454"/>
      <c r="C99" s="454"/>
      <c r="D99" s="454"/>
      <c r="E99" s="454"/>
      <c r="F99" s="454"/>
      <c r="G99" s="454"/>
      <c r="H99" s="454"/>
      <c r="I99" s="454"/>
      <c r="J99" s="454"/>
      <c r="K99" s="454"/>
      <c r="L99" s="454"/>
      <c r="M99" s="454"/>
      <c r="N99" s="454"/>
      <c r="O99" s="454"/>
      <c r="P99" s="454"/>
      <c r="Q99" s="454"/>
      <c r="R99" s="455"/>
    </row>
    <row r="100" spans="1:18" ht="13.15" customHeight="1">
      <c r="A100" s="453" t="s">
        <v>50</v>
      </c>
      <c r="B100" s="454"/>
      <c r="C100" s="454"/>
      <c r="D100" s="454"/>
      <c r="E100" s="454"/>
      <c r="F100" s="454"/>
      <c r="G100" s="454"/>
      <c r="H100" s="454"/>
      <c r="I100" s="454"/>
      <c r="J100" s="454"/>
      <c r="K100" s="454"/>
      <c r="L100" s="454"/>
      <c r="M100" s="454"/>
      <c r="N100" s="454"/>
      <c r="O100" s="454"/>
      <c r="P100" s="454"/>
      <c r="Q100" s="454"/>
      <c r="R100" s="455"/>
    </row>
    <row r="101" spans="1:18" ht="24.75" customHeight="1">
      <c r="A101" s="430" t="s">
        <v>54</v>
      </c>
      <c r="B101" s="431"/>
      <c r="C101" s="431"/>
      <c r="D101" s="431"/>
      <c r="E101" s="431"/>
      <c r="F101" s="431"/>
      <c r="G101" s="431"/>
      <c r="H101" s="431"/>
      <c r="I101" s="431"/>
      <c r="J101" s="431"/>
      <c r="K101" s="431"/>
      <c r="L101" s="431"/>
      <c r="M101" s="431"/>
      <c r="N101" s="431"/>
      <c r="O101" s="431"/>
      <c r="P101" s="431"/>
      <c r="Q101" s="431"/>
      <c r="R101" s="432"/>
    </row>
    <row r="102" spans="1:18" ht="12" customHeight="1">
      <c r="A102" s="453" t="s">
        <v>51</v>
      </c>
      <c r="B102" s="454"/>
      <c r="C102" s="454"/>
      <c r="D102" s="454"/>
      <c r="E102" s="454"/>
      <c r="F102" s="454"/>
      <c r="G102" s="454"/>
      <c r="H102" s="454"/>
      <c r="I102" s="454"/>
      <c r="J102" s="454"/>
      <c r="K102" s="454"/>
      <c r="L102" s="454"/>
      <c r="M102" s="454"/>
      <c r="N102" s="454"/>
      <c r="O102" s="454"/>
      <c r="P102" s="454"/>
      <c r="Q102" s="454"/>
      <c r="R102" s="455"/>
    </row>
    <row r="103" spans="1:18" ht="24" customHeight="1">
      <c r="A103" s="430" t="s">
        <v>52</v>
      </c>
      <c r="B103" s="431"/>
      <c r="C103" s="431"/>
      <c r="D103" s="431"/>
      <c r="E103" s="431"/>
      <c r="F103" s="431"/>
      <c r="G103" s="431"/>
      <c r="H103" s="431"/>
      <c r="I103" s="431"/>
      <c r="J103" s="431"/>
      <c r="K103" s="431"/>
      <c r="L103" s="431"/>
      <c r="M103" s="431"/>
      <c r="N103" s="431"/>
      <c r="O103" s="431"/>
      <c r="P103" s="431"/>
      <c r="Q103" s="431"/>
      <c r="R103" s="432"/>
    </row>
    <row r="104" spans="1:18" ht="24" customHeight="1">
      <c r="A104" s="430" t="s">
        <v>122</v>
      </c>
      <c r="B104" s="431"/>
      <c r="C104" s="431"/>
      <c r="D104" s="431"/>
      <c r="E104" s="431"/>
      <c r="F104" s="431"/>
      <c r="G104" s="431"/>
      <c r="H104" s="431"/>
      <c r="I104" s="431"/>
      <c r="J104" s="431"/>
      <c r="K104" s="431"/>
      <c r="L104" s="431"/>
      <c r="M104" s="431"/>
      <c r="N104" s="431"/>
      <c r="O104" s="431"/>
      <c r="P104" s="431"/>
      <c r="Q104" s="431"/>
      <c r="R104" s="432"/>
    </row>
    <row r="105" spans="1:18" ht="12" customHeight="1">
      <c r="A105" s="453" t="s">
        <v>120</v>
      </c>
      <c r="B105" s="454"/>
      <c r="C105" s="454"/>
      <c r="D105" s="454"/>
      <c r="E105" s="454"/>
      <c r="F105" s="454"/>
      <c r="G105" s="454"/>
      <c r="H105" s="454"/>
      <c r="I105" s="454"/>
      <c r="J105" s="454"/>
      <c r="K105" s="454"/>
      <c r="L105" s="454"/>
      <c r="M105" s="454"/>
      <c r="N105" s="454"/>
      <c r="O105" s="454"/>
      <c r="P105" s="454"/>
      <c r="Q105" s="454"/>
      <c r="R105" s="455"/>
    </row>
    <row r="106" spans="1:18" ht="22.5" customHeight="1">
      <c r="A106" s="430" t="s">
        <v>154</v>
      </c>
      <c r="B106" s="431"/>
      <c r="C106" s="431"/>
      <c r="D106" s="431"/>
      <c r="E106" s="431"/>
      <c r="F106" s="431"/>
      <c r="G106" s="431"/>
      <c r="H106" s="431"/>
      <c r="I106" s="431"/>
      <c r="J106" s="431"/>
      <c r="K106" s="431"/>
      <c r="L106" s="431"/>
      <c r="M106" s="431"/>
      <c r="N106" s="431"/>
      <c r="O106" s="431"/>
      <c r="P106" s="431"/>
      <c r="Q106" s="431"/>
      <c r="R106" s="432"/>
    </row>
    <row r="107" spans="1:18" ht="23.25" customHeight="1" thickBot="1">
      <c r="A107" s="433" t="s">
        <v>153</v>
      </c>
      <c r="B107" s="434"/>
      <c r="C107" s="434"/>
      <c r="D107" s="434"/>
      <c r="E107" s="434"/>
      <c r="F107" s="434"/>
      <c r="G107" s="434"/>
      <c r="H107" s="434"/>
      <c r="I107" s="434"/>
      <c r="J107" s="434"/>
      <c r="K107" s="434"/>
      <c r="L107" s="434"/>
      <c r="M107" s="434"/>
      <c r="N107" s="434"/>
      <c r="O107" s="434"/>
      <c r="P107" s="434"/>
      <c r="Q107" s="434"/>
      <c r="R107" s="435"/>
    </row>
    <row r="113" spans="17:17">
      <c r="Q113" s="26">
        <v>3</v>
      </c>
    </row>
  </sheetData>
  <mergeCells count="22">
    <mergeCell ref="A107:R107"/>
    <mergeCell ref="A97:R97"/>
    <mergeCell ref="A98:R98"/>
    <mergeCell ref="A99:R99"/>
    <mergeCell ref="A106:R106"/>
    <mergeCell ref="A104:R104"/>
    <mergeCell ref="A105:R105"/>
    <mergeCell ref="A96:R96"/>
    <mergeCell ref="A100:R100"/>
    <mergeCell ref="A101:R101"/>
    <mergeCell ref="A102:R102"/>
    <mergeCell ref="A103:R103"/>
    <mergeCell ref="A94:R94"/>
    <mergeCell ref="A95:R95"/>
    <mergeCell ref="A1:R1"/>
    <mergeCell ref="A2:R2"/>
    <mergeCell ref="A93:R93"/>
    <mergeCell ref="E3:J3"/>
    <mergeCell ref="K3:Q3"/>
    <mergeCell ref="B3:D3"/>
    <mergeCell ref="A3:A4"/>
    <mergeCell ref="R3:R4"/>
  </mergeCells>
  <phoneticPr fontId="0" type="noConversion"/>
  <pageMargins left="0.75" right="0.75" top="1" bottom="1" header="0.5" footer="0.5"/>
  <pageSetup scale="58" fitToHeight="2"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F91:G91"/>
  <sheetViews>
    <sheetView showGridLines="0" topLeftCell="L1" zoomScaleNormal="100" workbookViewId="0">
      <selection activeCell="L1" sqref="L1"/>
    </sheetView>
  </sheetViews>
  <sheetFormatPr defaultRowHeight="12.75"/>
  <sheetData>
    <row r="91" spans="6:7">
      <c r="F91">
        <v>5480818</v>
      </c>
      <c r="G91">
        <f>E91+F91</f>
        <v>5480818</v>
      </c>
    </row>
  </sheetData>
  <phoneticPr fontId="0"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26"/>
  <sheetViews>
    <sheetView showGridLines="0" zoomScaleNormal="100" workbookViewId="0">
      <selection sqref="A1:B1"/>
    </sheetView>
  </sheetViews>
  <sheetFormatPr defaultRowHeight="12.75"/>
  <cols>
    <col min="1" max="1" width="11.7109375" customWidth="1"/>
    <col min="2" max="2" width="24.7109375" customWidth="1"/>
  </cols>
  <sheetData>
    <row r="1" spans="1:2" ht="45" customHeight="1">
      <c r="A1" s="483" t="s">
        <v>142</v>
      </c>
      <c r="B1" s="484"/>
    </row>
    <row r="2" spans="1:2" ht="7.5" customHeight="1" thickBot="1">
      <c r="A2" s="485"/>
      <c r="B2" s="486"/>
    </row>
    <row r="3" spans="1:2" ht="13.5" thickBot="1">
      <c r="A3" s="297" t="s">
        <v>32</v>
      </c>
      <c r="B3" s="298" t="s">
        <v>23</v>
      </c>
    </row>
    <row r="4" spans="1:2">
      <c r="A4" s="299">
        <v>2005</v>
      </c>
      <c r="B4" s="300">
        <v>11652345.980000002</v>
      </c>
    </row>
    <row r="5" spans="1:2">
      <c r="A5" s="55">
        <v>2006</v>
      </c>
      <c r="B5" s="301">
        <v>20479029.920000002</v>
      </c>
    </row>
    <row r="6" spans="1:2">
      <c r="A6" s="55">
        <v>2007</v>
      </c>
      <c r="B6" s="301">
        <v>20827704.66</v>
      </c>
    </row>
    <row r="7" spans="1:2">
      <c r="A7" s="55">
        <v>2008</v>
      </c>
      <c r="B7" s="301">
        <v>24063007.739999998</v>
      </c>
    </row>
    <row r="8" spans="1:2">
      <c r="A8" s="55">
        <v>2009</v>
      </c>
      <c r="B8" s="301">
        <v>24775969.289999999</v>
      </c>
    </row>
    <row r="9" spans="1:2">
      <c r="A9" s="55">
        <v>2010</v>
      </c>
      <c r="B9" s="301">
        <v>25281300.759999998</v>
      </c>
    </row>
    <row r="10" spans="1:2">
      <c r="A10" s="68">
        <v>2011</v>
      </c>
      <c r="B10" s="302">
        <v>25362422.759999998</v>
      </c>
    </row>
    <row r="11" spans="1:2">
      <c r="A11" s="55">
        <v>2012</v>
      </c>
      <c r="B11" s="303">
        <v>28669503.629999999</v>
      </c>
    </row>
    <row r="12" spans="1:2">
      <c r="A12" s="55">
        <v>2013</v>
      </c>
      <c r="B12" s="303">
        <v>26929691.66</v>
      </c>
    </row>
    <row r="13" spans="1:2">
      <c r="A13" s="55">
        <v>2014</v>
      </c>
      <c r="B13" s="303">
        <v>25987490.419999998</v>
      </c>
    </row>
    <row r="14" spans="1:2">
      <c r="A14" s="55">
        <v>2015</v>
      </c>
      <c r="B14" s="303">
        <v>28447045.869999997</v>
      </c>
    </row>
    <row r="15" spans="1:2">
      <c r="A15" s="68">
        <v>2016</v>
      </c>
      <c r="B15" s="304">
        <v>28613776.640000004</v>
      </c>
    </row>
    <row r="16" spans="1:2">
      <c r="A16" s="55">
        <v>2017</v>
      </c>
      <c r="B16" s="305">
        <v>31292863.339999996</v>
      </c>
    </row>
    <row r="17" spans="1:2">
      <c r="A17" s="55">
        <v>2018</v>
      </c>
      <c r="B17" s="305">
        <v>29323748.550000004</v>
      </c>
    </row>
    <row r="18" spans="1:2">
      <c r="A18" s="55">
        <v>2019</v>
      </c>
      <c r="B18" s="305">
        <v>28238296.16</v>
      </c>
    </row>
    <row r="19" spans="1:2">
      <c r="A19" s="55">
        <v>2020</v>
      </c>
      <c r="B19" s="305">
        <v>28366873.829999998</v>
      </c>
    </row>
    <row r="20" spans="1:2">
      <c r="A20" s="68">
        <v>2021</v>
      </c>
      <c r="B20" s="304">
        <v>26699366.009999998</v>
      </c>
    </row>
    <row r="21" spans="1:2">
      <c r="A21" s="55">
        <v>2022</v>
      </c>
      <c r="B21" s="305">
        <v>27620440.139999997</v>
      </c>
    </row>
    <row r="22" spans="1:2">
      <c r="A22" s="55">
        <v>2023</v>
      </c>
      <c r="B22" s="352">
        <v>24011857.349999994</v>
      </c>
    </row>
    <row r="23" spans="1:2">
      <c r="A23" s="55">
        <v>2024</v>
      </c>
      <c r="B23" s="352">
        <v>20599599.73</v>
      </c>
    </row>
    <row r="24" spans="1:2" ht="13.5" thickBot="1">
      <c r="A24" s="314">
        <v>2025</v>
      </c>
      <c r="B24" s="353">
        <v>19902368.710000001</v>
      </c>
    </row>
    <row r="25" spans="1:2" ht="5.25" customHeight="1">
      <c r="A25" s="487"/>
      <c r="B25" s="488"/>
    </row>
    <row r="26" spans="1:2" ht="37.5" customHeight="1" thickBot="1">
      <c r="A26" s="433" t="s">
        <v>141</v>
      </c>
      <c r="B26" s="489"/>
    </row>
  </sheetData>
  <mergeCells count="4">
    <mergeCell ref="A1:B1"/>
    <mergeCell ref="A2:B2"/>
    <mergeCell ref="A25:B25"/>
    <mergeCell ref="A26:B2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98"/>
  <sheetViews>
    <sheetView showGridLines="0" zoomScale="115" zoomScaleNormal="115" workbookViewId="0">
      <pane ySplit="4" topLeftCell="A5" activePane="bottomLeft" state="frozen"/>
      <selection pane="bottomLeft" sqref="A1:A4"/>
    </sheetView>
  </sheetViews>
  <sheetFormatPr defaultColWidth="8.85546875" defaultRowHeight="12.75"/>
  <cols>
    <col min="1" max="1" width="6.5703125" style="312" customWidth="1"/>
    <col min="2" max="2" width="11.7109375" style="313" customWidth="1"/>
    <col min="3" max="3" width="14.85546875" style="226" customWidth="1"/>
    <col min="4" max="4" width="3.85546875" style="226" customWidth="1"/>
    <col min="5" max="5" width="16.42578125" style="226" bestFit="1" customWidth="1"/>
    <col min="6" max="6" width="62.28515625" style="226" customWidth="1"/>
    <col min="7" max="16384" width="8.85546875" style="226"/>
  </cols>
  <sheetData>
    <row r="1" spans="1:6" ht="15" customHeight="1" thickBot="1">
      <c r="A1" s="494" t="s">
        <v>2</v>
      </c>
      <c r="B1" s="492" t="s">
        <v>18</v>
      </c>
      <c r="C1" s="490" t="s">
        <v>19</v>
      </c>
      <c r="D1"/>
      <c r="E1" s="225" t="s">
        <v>112</v>
      </c>
    </row>
    <row r="2" spans="1:6" ht="12.75" customHeight="1">
      <c r="A2" s="495"/>
      <c r="B2" s="493"/>
      <c r="C2" s="491"/>
      <c r="D2"/>
      <c r="E2" s="227" t="s">
        <v>20</v>
      </c>
      <c r="F2" s="228" t="s">
        <v>21</v>
      </c>
    </row>
    <row r="3" spans="1:6" ht="12.75" customHeight="1" thickBot="1">
      <c r="A3" s="495"/>
      <c r="B3" s="493"/>
      <c r="C3" s="491"/>
      <c r="D3"/>
      <c r="E3" s="229" t="s">
        <v>18</v>
      </c>
      <c r="F3" s="311" t="s">
        <v>147</v>
      </c>
    </row>
    <row r="4" spans="1:6" ht="13.5" customHeight="1">
      <c r="A4" s="495"/>
      <c r="B4" s="493"/>
      <c r="C4" s="491"/>
      <c r="D4"/>
      <c r="E4"/>
      <c r="F4"/>
    </row>
    <row r="5" spans="1:6">
      <c r="A5" s="222">
        <v>1931</v>
      </c>
      <c r="B5" s="223">
        <v>514000</v>
      </c>
      <c r="C5" s="224">
        <v>0.152</v>
      </c>
      <c r="F5" s="287"/>
    </row>
    <row r="6" spans="1:6">
      <c r="A6" s="222">
        <v>1932</v>
      </c>
      <c r="B6" s="223">
        <v>515000</v>
      </c>
      <c r="C6" s="224">
        <v>0.13699999999999998</v>
      </c>
    </row>
    <row r="7" spans="1:6">
      <c r="A7" s="222">
        <v>1933</v>
      </c>
      <c r="B7" s="223">
        <v>519000</v>
      </c>
      <c r="C7" s="224">
        <v>0.13</v>
      </c>
    </row>
    <row r="8" spans="1:6">
      <c r="A8" s="222">
        <v>1934</v>
      </c>
      <c r="B8" s="223">
        <v>522000</v>
      </c>
      <c r="C8" s="224">
        <v>0.13400000000000001</v>
      </c>
    </row>
    <row r="9" spans="1:6">
      <c r="A9" s="222">
        <v>1935</v>
      </c>
      <c r="B9" s="223">
        <v>524000</v>
      </c>
      <c r="C9" s="224">
        <v>0.13699999999999998</v>
      </c>
    </row>
    <row r="10" spans="1:6">
      <c r="A10" s="222">
        <v>1936</v>
      </c>
      <c r="B10" s="223">
        <v>527000</v>
      </c>
      <c r="C10" s="224">
        <v>0.13900000000000001</v>
      </c>
    </row>
    <row r="11" spans="1:6">
      <c r="A11" s="222">
        <v>1937</v>
      </c>
      <c r="B11" s="223">
        <v>528000</v>
      </c>
      <c r="C11" s="224">
        <v>0.14400000000000002</v>
      </c>
    </row>
    <row r="12" spans="1:6">
      <c r="A12" s="222">
        <v>1938</v>
      </c>
      <c r="B12" s="223">
        <v>543000</v>
      </c>
      <c r="C12" s="224">
        <v>0.14099999999999999</v>
      </c>
    </row>
    <row r="13" spans="1:6">
      <c r="A13" s="222">
        <v>1939</v>
      </c>
      <c r="B13" s="223">
        <v>543000</v>
      </c>
      <c r="C13" s="224">
        <v>0.13900000000000001</v>
      </c>
    </row>
    <row r="14" spans="1:6">
      <c r="A14" s="222">
        <v>1940</v>
      </c>
      <c r="B14" s="223">
        <v>551800</v>
      </c>
      <c r="C14" s="224">
        <v>0.14000000000000001</v>
      </c>
    </row>
    <row r="15" spans="1:6">
      <c r="A15" s="222">
        <v>1941</v>
      </c>
      <c r="B15" s="223">
        <v>551000</v>
      </c>
      <c r="C15" s="224">
        <v>0.14699999999999999</v>
      </c>
    </row>
    <row r="16" spans="1:6">
      <c r="A16" s="222">
        <v>1942</v>
      </c>
      <c r="B16" s="223">
        <v>571200</v>
      </c>
      <c r="C16" s="224">
        <v>0.16300000000000001</v>
      </c>
    </row>
    <row r="17" spans="1:3">
      <c r="A17" s="222">
        <v>1943</v>
      </c>
      <c r="B17" s="223">
        <v>640000</v>
      </c>
      <c r="C17" s="224">
        <v>0.17300000000000001</v>
      </c>
    </row>
    <row r="18" spans="1:3">
      <c r="A18" s="222">
        <v>1944</v>
      </c>
      <c r="B18" s="223">
        <v>604700</v>
      </c>
      <c r="C18" s="224">
        <v>0.17600000000000002</v>
      </c>
    </row>
    <row r="19" spans="1:3">
      <c r="A19" s="222">
        <v>1945</v>
      </c>
      <c r="B19" s="223">
        <v>589100</v>
      </c>
      <c r="C19" s="224">
        <v>0.18</v>
      </c>
    </row>
    <row r="20" spans="1:3">
      <c r="A20" s="222">
        <v>1946</v>
      </c>
      <c r="B20" s="223">
        <v>638000</v>
      </c>
      <c r="C20" s="224">
        <v>0.19500000000000001</v>
      </c>
    </row>
    <row r="21" spans="1:3">
      <c r="A21" s="222">
        <v>1947</v>
      </c>
      <c r="B21" s="223">
        <v>636000</v>
      </c>
      <c r="C21" s="224">
        <v>0.223</v>
      </c>
    </row>
    <row r="22" spans="1:3">
      <c r="A22" s="222">
        <v>1948</v>
      </c>
      <c r="B22" s="223">
        <v>653000</v>
      </c>
      <c r="C22" s="224">
        <v>0.24100000000000002</v>
      </c>
    </row>
    <row r="23" spans="1:3">
      <c r="A23" s="222">
        <v>1949</v>
      </c>
      <c r="B23" s="223">
        <v>670800</v>
      </c>
      <c r="C23" s="224">
        <v>0.23800000000000002</v>
      </c>
    </row>
    <row r="24" spans="1:3">
      <c r="A24" s="222">
        <v>1950</v>
      </c>
      <c r="B24" s="223">
        <v>695900</v>
      </c>
      <c r="C24" s="224">
        <v>0.24100000000000002</v>
      </c>
    </row>
    <row r="25" spans="1:3">
      <c r="A25" s="222">
        <v>1951</v>
      </c>
      <c r="B25" s="223">
        <v>706100</v>
      </c>
      <c r="C25" s="224">
        <v>0.26</v>
      </c>
    </row>
    <row r="26" spans="1:3">
      <c r="A26" s="222">
        <v>1952</v>
      </c>
      <c r="B26" s="223">
        <v>724000</v>
      </c>
      <c r="C26" s="224">
        <v>0.26500000000000001</v>
      </c>
    </row>
    <row r="27" spans="1:3">
      <c r="A27" s="222">
        <v>1953</v>
      </c>
      <c r="B27" s="223">
        <v>739100</v>
      </c>
      <c r="C27" s="224">
        <v>0.26700000000000002</v>
      </c>
    </row>
    <row r="28" spans="1:3">
      <c r="A28" s="222">
        <v>1954</v>
      </c>
      <c r="B28" s="223">
        <v>750500</v>
      </c>
      <c r="C28" s="224">
        <v>0.26899999999999996</v>
      </c>
    </row>
    <row r="29" spans="1:3">
      <c r="A29" s="222">
        <v>1955</v>
      </c>
      <c r="B29" s="223">
        <v>782800</v>
      </c>
      <c r="C29" s="224">
        <v>0.26800000000000002</v>
      </c>
    </row>
    <row r="30" spans="1:3">
      <c r="A30" s="222">
        <v>1956</v>
      </c>
      <c r="B30" s="223">
        <v>808800</v>
      </c>
      <c r="C30" s="224">
        <v>0.27200000000000002</v>
      </c>
    </row>
    <row r="31" spans="1:3">
      <c r="A31" s="222">
        <v>1957</v>
      </c>
      <c r="B31" s="223">
        <v>826300</v>
      </c>
      <c r="C31" s="224">
        <v>0.28100000000000003</v>
      </c>
    </row>
    <row r="32" spans="1:3">
      <c r="A32" s="222">
        <v>1958</v>
      </c>
      <c r="B32" s="223">
        <v>845200</v>
      </c>
      <c r="C32" s="224">
        <v>0.28899999999999998</v>
      </c>
    </row>
    <row r="33" spans="1:3">
      <c r="A33" s="222">
        <v>1959</v>
      </c>
      <c r="B33" s="223">
        <v>869900</v>
      </c>
      <c r="C33" s="224">
        <v>0.29100000000000004</v>
      </c>
    </row>
    <row r="34" spans="1:3">
      <c r="A34" s="222">
        <v>1960</v>
      </c>
      <c r="B34" s="223">
        <v>900000</v>
      </c>
      <c r="C34" s="224">
        <v>0.29600000000000004</v>
      </c>
    </row>
    <row r="35" spans="1:3">
      <c r="A35" s="222">
        <v>1961</v>
      </c>
      <c r="B35" s="223">
        <v>936000</v>
      </c>
      <c r="C35" s="224">
        <v>0.29899999999999999</v>
      </c>
    </row>
    <row r="36" spans="1:3">
      <c r="A36" s="222">
        <v>1962</v>
      </c>
      <c r="B36" s="223">
        <v>958000</v>
      </c>
      <c r="C36" s="224">
        <v>0.30199999999999999</v>
      </c>
    </row>
    <row r="37" spans="1:3">
      <c r="A37" s="222">
        <v>1963</v>
      </c>
      <c r="B37" s="223">
        <v>974000</v>
      </c>
      <c r="C37" s="224">
        <v>0.30599999999999999</v>
      </c>
    </row>
    <row r="38" spans="1:3">
      <c r="A38" s="222">
        <v>1964</v>
      </c>
      <c r="B38" s="223">
        <v>978000</v>
      </c>
      <c r="C38" s="224">
        <v>0.31</v>
      </c>
    </row>
    <row r="39" spans="1:3">
      <c r="A39" s="222">
        <v>1965</v>
      </c>
      <c r="B39" s="223">
        <v>991000</v>
      </c>
      <c r="C39" s="224">
        <v>0.315</v>
      </c>
    </row>
    <row r="40" spans="1:3">
      <c r="A40" s="222">
        <v>1966</v>
      </c>
      <c r="B40" s="223">
        <v>1009000</v>
      </c>
      <c r="C40" s="224">
        <v>0.32400000000000001</v>
      </c>
    </row>
    <row r="41" spans="1:3">
      <c r="A41" s="222">
        <v>1967</v>
      </c>
      <c r="B41" s="223">
        <v>1019000</v>
      </c>
      <c r="C41" s="224">
        <v>0.33399999999999996</v>
      </c>
    </row>
    <row r="42" spans="1:3">
      <c r="A42" s="222">
        <v>1968</v>
      </c>
      <c r="B42" s="223">
        <v>1029000</v>
      </c>
      <c r="C42" s="224">
        <v>0.34799999999999998</v>
      </c>
    </row>
    <row r="43" spans="1:3">
      <c r="A43" s="222">
        <v>1969</v>
      </c>
      <c r="B43" s="223">
        <v>1047000</v>
      </c>
      <c r="C43" s="224">
        <v>0.36700000000000005</v>
      </c>
    </row>
    <row r="44" spans="1:3">
      <c r="A44" s="222">
        <v>1970</v>
      </c>
      <c r="B44" s="223">
        <v>1066000</v>
      </c>
      <c r="C44" s="224">
        <v>0.38799999999999996</v>
      </c>
    </row>
    <row r="45" spans="1:3">
      <c r="A45" s="222">
        <v>1971</v>
      </c>
      <c r="B45" s="223">
        <v>1101150</v>
      </c>
      <c r="C45" s="224">
        <v>0.40500000000000003</v>
      </c>
    </row>
    <row r="46" spans="1:3">
      <c r="A46" s="222">
        <v>1972</v>
      </c>
      <c r="B46" s="223">
        <v>1135100</v>
      </c>
      <c r="C46" s="224">
        <v>0.41799999999999998</v>
      </c>
    </row>
    <row r="47" spans="1:3">
      <c r="A47" s="222">
        <v>1973</v>
      </c>
      <c r="B47" s="223">
        <v>1168950</v>
      </c>
      <c r="C47" s="224">
        <v>0.44400000000000001</v>
      </c>
    </row>
    <row r="48" spans="1:3">
      <c r="A48" s="222">
        <v>1974</v>
      </c>
      <c r="B48" s="223">
        <v>1196950</v>
      </c>
      <c r="C48" s="224">
        <v>0.49299999999999999</v>
      </c>
    </row>
    <row r="49" spans="1:3">
      <c r="A49" s="222">
        <v>1975</v>
      </c>
      <c r="B49" s="223">
        <v>1233900</v>
      </c>
      <c r="C49" s="224">
        <v>0.53799999999999992</v>
      </c>
    </row>
    <row r="50" spans="1:3">
      <c r="A50" s="222">
        <v>1976</v>
      </c>
      <c r="B50" s="223">
        <v>1272050</v>
      </c>
      <c r="C50" s="224">
        <v>0.56899999999999995</v>
      </c>
    </row>
    <row r="51" spans="1:3">
      <c r="A51" s="222">
        <v>1977</v>
      </c>
      <c r="B51" s="223">
        <v>1315950</v>
      </c>
      <c r="C51" s="224">
        <v>0.60599999999999998</v>
      </c>
    </row>
    <row r="52" spans="1:3">
      <c r="A52" s="222">
        <v>1978</v>
      </c>
      <c r="B52" s="223">
        <v>1363750</v>
      </c>
      <c r="C52" s="224">
        <v>0.65200000000000002</v>
      </c>
    </row>
    <row r="53" spans="1:3">
      <c r="A53" s="222">
        <v>1979</v>
      </c>
      <c r="B53" s="223">
        <v>1415950</v>
      </c>
      <c r="C53" s="224">
        <v>0.72599999999999998</v>
      </c>
    </row>
    <row r="54" spans="1:3">
      <c r="A54" s="222">
        <v>1980</v>
      </c>
      <c r="B54" s="223">
        <v>1474000</v>
      </c>
      <c r="C54" s="224">
        <v>0.82400000000000007</v>
      </c>
    </row>
    <row r="55" spans="1:3">
      <c r="A55" s="222">
        <v>1981</v>
      </c>
      <c r="B55" s="223">
        <v>1515000</v>
      </c>
      <c r="C55" s="224">
        <v>0.90900000000000003</v>
      </c>
    </row>
    <row r="56" spans="1:3">
      <c r="A56" s="222">
        <v>1982</v>
      </c>
      <c r="B56" s="223">
        <v>1558000</v>
      </c>
      <c r="C56" s="224">
        <v>0.96499999999999997</v>
      </c>
    </row>
    <row r="57" spans="1:3">
      <c r="A57" s="222">
        <v>1983</v>
      </c>
      <c r="B57" s="223">
        <v>1595000</v>
      </c>
      <c r="C57" s="224">
        <v>0.996</v>
      </c>
    </row>
    <row r="58" spans="1:3">
      <c r="A58" s="222">
        <v>1984</v>
      </c>
      <c r="B58" s="223">
        <v>1622000</v>
      </c>
      <c r="C58" s="224">
        <v>1.0390000000000001</v>
      </c>
    </row>
    <row r="59" spans="1:3">
      <c r="A59" s="222">
        <v>1985</v>
      </c>
      <c r="B59" s="223">
        <v>1643000</v>
      </c>
      <c r="C59" s="224">
        <v>1.0759999999999998</v>
      </c>
    </row>
    <row r="60" spans="1:3">
      <c r="A60" s="222">
        <v>1986</v>
      </c>
      <c r="B60" s="223">
        <v>1663000</v>
      </c>
      <c r="C60" s="224">
        <v>1.0959999999999999</v>
      </c>
    </row>
    <row r="61" spans="1:3">
      <c r="A61" s="222">
        <v>1987</v>
      </c>
      <c r="B61" s="223">
        <v>1678000</v>
      </c>
      <c r="C61" s="224">
        <v>1.1359999999999999</v>
      </c>
    </row>
    <row r="62" spans="1:3">
      <c r="A62" s="222">
        <v>1988</v>
      </c>
      <c r="B62" s="223">
        <v>1690000</v>
      </c>
      <c r="C62" s="224">
        <v>1.1830000000000001</v>
      </c>
    </row>
    <row r="63" spans="1:3">
      <c r="A63" s="222">
        <v>1989</v>
      </c>
      <c r="B63" s="223">
        <v>1706000</v>
      </c>
      <c r="C63" s="224">
        <v>1.24</v>
      </c>
    </row>
    <row r="64" spans="1:3">
      <c r="A64" s="222">
        <v>1990</v>
      </c>
      <c r="B64" s="223">
        <v>1729227</v>
      </c>
      <c r="C64" s="224">
        <v>1.3069999999999999</v>
      </c>
    </row>
    <row r="65" spans="1:7">
      <c r="A65" s="222">
        <v>1991</v>
      </c>
      <c r="B65" s="223">
        <v>1780870</v>
      </c>
      <c r="C65" s="224">
        <v>1.3619999999999999</v>
      </c>
    </row>
    <row r="66" spans="1:7">
      <c r="A66" s="222">
        <v>1992</v>
      </c>
      <c r="B66" s="223">
        <v>1838149</v>
      </c>
      <c r="C66" s="224">
        <v>1.403</v>
      </c>
      <c r="F66" s="288"/>
      <c r="G66" s="288"/>
    </row>
    <row r="67" spans="1:7">
      <c r="A67" s="222">
        <v>1993</v>
      </c>
      <c r="B67" s="223">
        <v>1889393</v>
      </c>
      <c r="C67" s="224">
        <v>1.4450000000000001</v>
      </c>
    </row>
    <row r="68" spans="1:7">
      <c r="A68" s="222">
        <v>1994</v>
      </c>
      <c r="B68" s="223">
        <v>1946721</v>
      </c>
      <c r="C68" s="224">
        <v>1.482</v>
      </c>
    </row>
    <row r="69" spans="1:7">
      <c r="A69" s="222">
        <v>1995</v>
      </c>
      <c r="B69" s="223">
        <v>1995228</v>
      </c>
      <c r="C69" s="224">
        <v>1.524</v>
      </c>
    </row>
    <row r="70" spans="1:7">
      <c r="A70" s="222">
        <v>1996</v>
      </c>
      <c r="B70" s="223">
        <v>2042893</v>
      </c>
      <c r="C70" s="224">
        <v>1.569</v>
      </c>
    </row>
    <row r="71" spans="1:7">
      <c r="A71" s="222">
        <v>1997</v>
      </c>
      <c r="B71" s="223">
        <v>2099409</v>
      </c>
      <c r="C71" s="224">
        <v>1.605</v>
      </c>
    </row>
    <row r="72" spans="1:7">
      <c r="A72" s="222">
        <v>1998</v>
      </c>
      <c r="B72" s="223">
        <v>2141632</v>
      </c>
      <c r="C72" s="224">
        <v>1.63</v>
      </c>
    </row>
    <row r="73" spans="1:7">
      <c r="A73" s="222">
        <v>1999</v>
      </c>
      <c r="B73" s="223">
        <v>2193014</v>
      </c>
      <c r="C73" s="224">
        <v>1.6659999999999999</v>
      </c>
    </row>
    <row r="74" spans="1:7">
      <c r="A74" s="222">
        <v>2000</v>
      </c>
      <c r="B74" s="223">
        <v>2246468</v>
      </c>
      <c r="C74" s="224">
        <v>1.722</v>
      </c>
      <c r="F74" s="289"/>
      <c r="G74" s="289"/>
    </row>
    <row r="75" spans="1:7">
      <c r="A75" s="222">
        <v>2001</v>
      </c>
      <c r="B75" s="223">
        <v>2290634</v>
      </c>
      <c r="C75" s="224">
        <v>1.7709999999999999</v>
      </c>
      <c r="F75" s="290"/>
      <c r="G75" s="290"/>
    </row>
    <row r="76" spans="1:7">
      <c r="A76" s="222">
        <v>2002</v>
      </c>
      <c r="B76" s="223">
        <v>2331826</v>
      </c>
      <c r="C76" s="224">
        <v>1.7990000000000002</v>
      </c>
      <c r="F76" s="291"/>
      <c r="G76" s="291"/>
    </row>
    <row r="77" spans="1:7">
      <c r="A77" s="222">
        <v>2003</v>
      </c>
      <c r="B77" s="223">
        <v>2372458</v>
      </c>
      <c r="C77" s="224">
        <v>1.84</v>
      </c>
    </row>
    <row r="78" spans="1:7">
      <c r="A78" s="222">
        <v>2004</v>
      </c>
      <c r="B78" s="223">
        <v>2430223</v>
      </c>
      <c r="C78" s="224">
        <v>1.889</v>
      </c>
    </row>
    <row r="79" spans="1:7">
      <c r="A79" s="222">
        <v>2005</v>
      </c>
      <c r="B79" s="223">
        <v>2505843</v>
      </c>
      <c r="C79" s="224">
        <v>1.9530000000000001</v>
      </c>
    </row>
    <row r="80" spans="1:7">
      <c r="A80" s="222">
        <v>2006</v>
      </c>
      <c r="B80" s="223">
        <v>2576229</v>
      </c>
      <c r="C80" s="224">
        <v>2.016</v>
      </c>
    </row>
    <row r="81" spans="1:3">
      <c r="A81" s="222">
        <v>2007</v>
      </c>
      <c r="B81" s="223">
        <v>2636075</v>
      </c>
      <c r="C81" s="224">
        <v>2.07342</v>
      </c>
    </row>
    <row r="82" spans="1:3">
      <c r="A82" s="222">
        <v>2008</v>
      </c>
      <c r="B82" s="223">
        <v>2691122</v>
      </c>
      <c r="C82" s="224">
        <v>2.1530299999999998</v>
      </c>
    </row>
    <row r="83" spans="1:3">
      <c r="A83" s="222">
        <v>2009</v>
      </c>
      <c r="B83" s="223">
        <v>2731560</v>
      </c>
      <c r="C83" s="224">
        <v>2.1453700000000002</v>
      </c>
    </row>
    <row r="84" spans="1:3">
      <c r="A84" s="222">
        <v>2010</v>
      </c>
      <c r="B84" s="223">
        <v>2772666.6</v>
      </c>
      <c r="C84" s="224">
        <v>2.1805600000000003</v>
      </c>
    </row>
    <row r="85" spans="1:3">
      <c r="A85" s="222">
        <v>2011</v>
      </c>
      <c r="B85" s="223">
        <v>2822091</v>
      </c>
      <c r="C85" s="224">
        <v>2.24939</v>
      </c>
    </row>
    <row r="86" spans="1:3">
      <c r="A86" s="222">
        <v>2012</v>
      </c>
      <c r="B86" s="223">
        <v>2867404.4</v>
      </c>
      <c r="C86" s="224">
        <v>2.2959399999999999</v>
      </c>
    </row>
    <row r="87" spans="1:3">
      <c r="A87" s="222">
        <v>2013</v>
      </c>
      <c r="B87" s="223">
        <v>2906021.8</v>
      </c>
      <c r="C87" s="224">
        <v>2.3295699999999999</v>
      </c>
    </row>
    <row r="88" spans="1:3">
      <c r="A88" s="222">
        <v>2014</v>
      </c>
      <c r="B88" s="223">
        <v>2946989.2</v>
      </c>
      <c r="C88" s="224">
        <v>2.3673599999999997</v>
      </c>
    </row>
    <row r="89" spans="1:3">
      <c r="A89" s="222">
        <v>2015</v>
      </c>
      <c r="B89" s="223">
        <v>3003791.6</v>
      </c>
      <c r="C89" s="224">
        <v>2.3701699999999999</v>
      </c>
    </row>
    <row r="90" spans="1:3">
      <c r="A90" s="222">
        <v>2016</v>
      </c>
      <c r="B90" s="223">
        <v>3062384</v>
      </c>
      <c r="C90" s="224">
        <v>2.4000749999999997</v>
      </c>
    </row>
    <row r="91" spans="1:3">
      <c r="A91" s="222">
        <v>2017</v>
      </c>
      <c r="B91" s="223">
        <v>3122477.4</v>
      </c>
      <c r="C91" s="224">
        <v>2.4511950000000002</v>
      </c>
    </row>
    <row r="92" spans="1:3">
      <c r="A92" s="222">
        <v>2018</v>
      </c>
      <c r="B92" s="223">
        <v>3176341.8</v>
      </c>
      <c r="C92" s="224">
        <v>2.5110700000000001</v>
      </c>
    </row>
    <row r="93" spans="1:3">
      <c r="A93" s="222">
        <v>2019</v>
      </c>
      <c r="B93" s="223">
        <v>3231108.2</v>
      </c>
      <c r="C93" s="224">
        <v>2.5565750000000005</v>
      </c>
    </row>
    <row r="94" spans="1:3">
      <c r="A94" s="222">
        <v>2020</v>
      </c>
      <c r="B94" s="223">
        <v>3284823</v>
      </c>
      <c r="C94" s="224">
        <v>2.5881100000000004</v>
      </c>
    </row>
    <row r="95" spans="1:3">
      <c r="A95" s="222">
        <v>2021</v>
      </c>
      <c r="B95" s="345">
        <v>3342542.7608016883</v>
      </c>
      <c r="C95" s="224">
        <v>2.709695</v>
      </c>
    </row>
    <row r="96" spans="1:3">
      <c r="A96" s="222">
        <v>2022</v>
      </c>
      <c r="B96" s="345">
        <v>3400493.3054288989</v>
      </c>
      <c r="C96" s="421">
        <v>2.9265499999999998</v>
      </c>
    </row>
    <row r="97" spans="1:3">
      <c r="A97" s="222">
        <v>2023</v>
      </c>
      <c r="B97" s="345">
        <v>3456482.4883256219</v>
      </c>
      <c r="C97" s="224">
        <v>3.0470199999999998</v>
      </c>
    </row>
    <row r="98" spans="1:3" ht="13.5" thickBot="1">
      <c r="A98" s="344">
        <v>2024</v>
      </c>
      <c r="B98" s="420">
        <v>3506838</v>
      </c>
      <c r="C98" s="422">
        <v>3.1368899999999997</v>
      </c>
    </row>
  </sheetData>
  <mergeCells count="3">
    <mergeCell ref="C1:C4"/>
    <mergeCell ref="B1:B4"/>
    <mergeCell ref="A1:A4"/>
  </mergeCells>
  <hyperlinks>
    <hyperlink ref="F2" r:id="rId1" xr:uid="{00000000-0004-0000-0C00-000000000000}"/>
    <hyperlink ref="F3" r:id="rId2" xr:uid="{00000000-0004-0000-0C00-000001000000}"/>
  </hyperlinks>
  <pageMargins left="0.7" right="0.7" top="0.75" bottom="0.75" header="0.3" footer="0.3"/>
  <pageSetup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28"/>
  <sheetViews>
    <sheetView showGridLines="0" zoomScaleNormal="100" workbookViewId="0">
      <pane ySplit="4" topLeftCell="A95" activePane="bottomLeft" state="frozen"/>
      <selection pane="bottomLeft" sqref="A1:O1"/>
    </sheetView>
  </sheetViews>
  <sheetFormatPr defaultColWidth="9.140625" defaultRowHeight="12.75"/>
  <cols>
    <col min="1" max="1" width="6.28515625" style="1" customWidth="1"/>
    <col min="2" max="2" width="11.140625" style="1" customWidth="1"/>
    <col min="3" max="3" width="12.7109375" style="1" bestFit="1" customWidth="1"/>
    <col min="4" max="4" width="11.5703125" style="1" bestFit="1" customWidth="1"/>
    <col min="5" max="5" width="10.5703125" style="1" customWidth="1"/>
    <col min="6" max="6" width="8.28515625" style="1" bestFit="1" customWidth="1"/>
    <col min="7" max="7" width="9" style="1" bestFit="1" customWidth="1"/>
    <col min="8" max="8" width="10.85546875" style="25" bestFit="1" customWidth="1"/>
    <col min="9" max="10" width="10.5703125" style="1" bestFit="1" customWidth="1"/>
    <col min="11" max="11" width="8.28515625" style="1" bestFit="1" customWidth="1"/>
    <col min="12" max="12" width="5.140625" style="1" bestFit="1" customWidth="1"/>
    <col min="13" max="14" width="11" style="1" customWidth="1"/>
    <col min="15" max="15" width="6" style="1" bestFit="1" customWidth="1"/>
    <col min="16" max="16384" width="9.140625" style="1"/>
  </cols>
  <sheetData>
    <row r="1" spans="1:16" ht="21.95" customHeight="1">
      <c r="A1" s="438" t="s">
        <v>76</v>
      </c>
      <c r="B1" s="438"/>
      <c r="C1" s="438"/>
      <c r="D1" s="438"/>
      <c r="E1" s="438"/>
      <c r="F1" s="438"/>
      <c r="G1" s="438"/>
      <c r="H1" s="438"/>
      <c r="I1" s="438"/>
      <c r="J1" s="438"/>
      <c r="K1" s="438"/>
      <c r="L1" s="438"/>
      <c r="M1" s="438"/>
      <c r="N1" s="438"/>
      <c r="O1" s="438"/>
      <c r="P1" s="122"/>
    </row>
    <row r="2" spans="1:16" ht="6" customHeight="1" thickBot="1">
      <c r="A2" s="444"/>
      <c r="B2" s="444"/>
      <c r="C2" s="444"/>
      <c r="D2" s="444"/>
      <c r="E2" s="444"/>
      <c r="F2" s="444"/>
      <c r="G2" s="444"/>
      <c r="H2" s="444"/>
      <c r="I2" s="444"/>
      <c r="J2" s="444"/>
      <c r="K2" s="444"/>
      <c r="L2" s="444"/>
      <c r="M2" s="444"/>
      <c r="N2" s="444"/>
      <c r="O2" s="444"/>
    </row>
    <row r="3" spans="1:16" ht="12.75" customHeight="1">
      <c r="A3" s="436" t="s">
        <v>32</v>
      </c>
      <c r="B3" s="437" t="s">
        <v>0</v>
      </c>
      <c r="C3" s="437"/>
      <c r="D3" s="437"/>
      <c r="E3" s="437"/>
      <c r="F3" s="437"/>
      <c r="G3" s="437"/>
      <c r="H3" s="445"/>
      <c r="I3" s="436" t="s">
        <v>1</v>
      </c>
      <c r="J3" s="437"/>
      <c r="K3" s="437"/>
      <c r="L3" s="437"/>
      <c r="M3" s="439" t="s">
        <v>74</v>
      </c>
      <c r="N3" s="446" t="s">
        <v>139</v>
      </c>
      <c r="O3" s="442" t="s">
        <v>3</v>
      </c>
    </row>
    <row r="4" spans="1:16" ht="63.75" customHeight="1" thickBot="1">
      <c r="A4" s="441"/>
      <c r="B4" s="175" t="s">
        <v>78</v>
      </c>
      <c r="C4" s="175" t="s">
        <v>75</v>
      </c>
      <c r="D4" s="175" t="s">
        <v>77</v>
      </c>
      <c r="E4" s="175" t="s">
        <v>33</v>
      </c>
      <c r="F4" s="175" t="s">
        <v>34</v>
      </c>
      <c r="G4" s="175" t="s">
        <v>73</v>
      </c>
      <c r="H4" s="230" t="s">
        <v>72</v>
      </c>
      <c r="I4" s="216" t="s">
        <v>23</v>
      </c>
      <c r="J4" s="123" t="s">
        <v>33</v>
      </c>
      <c r="K4" s="175" t="s">
        <v>34</v>
      </c>
      <c r="L4" s="175" t="s">
        <v>69</v>
      </c>
      <c r="M4" s="440"/>
      <c r="N4" s="447"/>
      <c r="O4" s="443"/>
    </row>
    <row r="5" spans="1:16">
      <c r="A5" s="69">
        <v>1923</v>
      </c>
      <c r="B5" s="71">
        <v>69000</v>
      </c>
      <c r="C5" s="72"/>
      <c r="D5" s="70">
        <f t="shared" ref="D5:D68" si="0">C5+B5</f>
        <v>69000</v>
      </c>
      <c r="E5" s="70">
        <f>D5/0.168</f>
        <v>410714.28571428568</v>
      </c>
      <c r="F5" s="138">
        <f>E5/467000</f>
        <v>0.87947384521260319</v>
      </c>
      <c r="G5" s="139">
        <v>0.02</v>
      </c>
      <c r="H5" s="231">
        <f t="shared" ref="H5:H36" si="1">(D5/G5)</f>
        <v>3450000</v>
      </c>
      <c r="I5" s="239"/>
      <c r="J5" s="140"/>
      <c r="K5" s="71"/>
      <c r="L5" s="71"/>
      <c r="M5" s="233"/>
      <c r="N5" s="292"/>
      <c r="O5" s="141">
        <v>1</v>
      </c>
    </row>
    <row r="6" spans="1:16">
      <c r="A6" s="55">
        <v>1924</v>
      </c>
      <c r="B6" s="17">
        <v>106000</v>
      </c>
      <c r="C6" s="73"/>
      <c r="D6" s="56">
        <f t="shared" si="0"/>
        <v>106000</v>
      </c>
      <c r="E6" s="56">
        <f>D6/0.171</f>
        <v>619883.04093567247</v>
      </c>
      <c r="F6" s="124">
        <f>E6/474000</f>
        <v>1.3077701285562711</v>
      </c>
      <c r="G6" s="62">
        <v>0.02</v>
      </c>
      <c r="H6" s="16">
        <f t="shared" si="1"/>
        <v>5300000</v>
      </c>
      <c r="I6" s="240"/>
      <c r="J6" s="20"/>
      <c r="K6" s="17"/>
      <c r="L6" s="17"/>
      <c r="M6" s="234"/>
      <c r="N6" s="26"/>
      <c r="O6" s="88"/>
    </row>
    <row r="7" spans="1:16">
      <c r="A7" s="58">
        <v>1925</v>
      </c>
      <c r="B7" s="19">
        <v>61000</v>
      </c>
      <c r="C7" s="75"/>
      <c r="D7" s="59">
        <f t="shared" si="0"/>
        <v>61000</v>
      </c>
      <c r="E7" s="59">
        <f>D7/0.171</f>
        <v>356725.14619883039</v>
      </c>
      <c r="F7" s="125">
        <f>E7/481000</f>
        <v>0.74163232057968898</v>
      </c>
      <c r="G7" s="63">
        <v>0.02</v>
      </c>
      <c r="H7" s="18">
        <f t="shared" si="1"/>
        <v>3050000</v>
      </c>
      <c r="I7" s="58"/>
      <c r="J7" s="120"/>
      <c r="K7" s="75"/>
      <c r="L7" s="19"/>
      <c r="M7" s="235"/>
      <c r="N7" s="293"/>
      <c r="O7" s="90"/>
    </row>
    <row r="8" spans="1:16">
      <c r="A8" s="68">
        <v>1926</v>
      </c>
      <c r="B8" s="137">
        <v>129000</v>
      </c>
      <c r="C8" s="133"/>
      <c r="D8" s="53">
        <f t="shared" si="0"/>
        <v>129000</v>
      </c>
      <c r="E8" s="53">
        <f>D8/0.175</f>
        <v>737142.85714285716</v>
      </c>
      <c r="F8" s="135">
        <f>E8/487000</f>
        <v>1.5136403637430331</v>
      </c>
      <c r="G8" s="134">
        <v>0.02</v>
      </c>
      <c r="H8" s="232">
        <f t="shared" si="1"/>
        <v>6450000</v>
      </c>
      <c r="I8" s="241"/>
      <c r="J8" s="133"/>
      <c r="K8" s="132"/>
      <c r="L8" s="131"/>
      <c r="M8" s="236"/>
      <c r="N8" s="294"/>
      <c r="O8" s="142"/>
    </row>
    <row r="9" spans="1:16">
      <c r="A9" s="55">
        <v>1927</v>
      </c>
      <c r="B9" s="20">
        <v>128000</v>
      </c>
      <c r="C9" s="22"/>
      <c r="D9" s="56">
        <f t="shared" si="0"/>
        <v>128000</v>
      </c>
      <c r="E9" s="56">
        <f>D9/0.177</f>
        <v>723163.84180790966</v>
      </c>
      <c r="F9" s="129">
        <f>E9/494000</f>
        <v>1.4638944166152017</v>
      </c>
      <c r="G9" s="62">
        <v>0.02</v>
      </c>
      <c r="H9" s="16">
        <f t="shared" si="1"/>
        <v>6400000</v>
      </c>
      <c r="I9" s="242"/>
      <c r="J9" s="22"/>
      <c r="K9" s="105"/>
      <c r="L9" s="128"/>
      <c r="M9" s="237"/>
      <c r="N9" s="295"/>
      <c r="O9" s="88"/>
    </row>
    <row r="10" spans="1:16">
      <c r="A10" s="55">
        <v>1928</v>
      </c>
      <c r="B10" s="20">
        <v>136000</v>
      </c>
      <c r="C10" s="22"/>
      <c r="D10" s="56">
        <f t="shared" si="0"/>
        <v>136000</v>
      </c>
      <c r="E10" s="56">
        <f>D10/0.174</f>
        <v>781609.19540229894</v>
      </c>
      <c r="F10" s="129">
        <f>E10/500000</f>
        <v>1.5632183908045978</v>
      </c>
      <c r="G10" s="62">
        <v>0.02</v>
      </c>
      <c r="H10" s="16">
        <f t="shared" si="1"/>
        <v>6800000</v>
      </c>
      <c r="I10" s="242"/>
      <c r="J10" s="22"/>
      <c r="K10" s="105"/>
      <c r="L10" s="128"/>
      <c r="M10" s="237"/>
      <c r="N10" s="295"/>
      <c r="O10" s="88"/>
    </row>
    <row r="11" spans="1:16">
      <c r="A11" s="55">
        <v>1929</v>
      </c>
      <c r="B11" s="20">
        <v>143000</v>
      </c>
      <c r="C11" s="22"/>
      <c r="D11" s="56">
        <f t="shared" si="0"/>
        <v>143000</v>
      </c>
      <c r="E11" s="56">
        <f>D11/0.171</f>
        <v>836257.30994152045</v>
      </c>
      <c r="F11" s="129">
        <f>E11/504000</f>
        <v>1.6592406943284135</v>
      </c>
      <c r="G11" s="62">
        <v>0.02</v>
      </c>
      <c r="H11" s="16">
        <f t="shared" si="1"/>
        <v>7150000</v>
      </c>
      <c r="I11" s="243"/>
      <c r="J11" s="22"/>
      <c r="K11" s="105"/>
      <c r="L11" s="128"/>
      <c r="M11" s="237"/>
      <c r="N11" s="295"/>
      <c r="O11" s="88"/>
    </row>
    <row r="12" spans="1:16">
      <c r="A12" s="58">
        <v>1930</v>
      </c>
      <c r="B12" s="21">
        <v>193000</v>
      </c>
      <c r="C12" s="126"/>
      <c r="D12" s="59">
        <f t="shared" si="0"/>
        <v>193000</v>
      </c>
      <c r="E12" s="59">
        <f>D12/0.171</f>
        <v>1128654.9707602339</v>
      </c>
      <c r="F12" s="136">
        <f>E12/508000</f>
        <v>2.2217617534650276</v>
      </c>
      <c r="G12" s="63">
        <v>0.02</v>
      </c>
      <c r="H12" s="18">
        <f t="shared" si="1"/>
        <v>9650000</v>
      </c>
      <c r="I12" s="244"/>
      <c r="J12" s="126"/>
      <c r="K12" s="100"/>
      <c r="L12" s="127"/>
      <c r="M12" s="238"/>
      <c r="N12" s="296"/>
      <c r="O12" s="90"/>
    </row>
    <row r="13" spans="1:16">
      <c r="A13" s="68">
        <v>1931</v>
      </c>
      <c r="B13" s="137">
        <v>197000</v>
      </c>
      <c r="C13" s="133"/>
      <c r="D13" s="53">
        <f t="shared" si="0"/>
        <v>197000</v>
      </c>
      <c r="E13" s="53">
        <f>D13/0.167</f>
        <v>1179640.7185628742</v>
      </c>
      <c r="F13" s="135">
        <f>E13/509000</f>
        <v>2.3175652624025034</v>
      </c>
      <c r="G13" s="134">
        <v>0.02</v>
      </c>
      <c r="H13" s="232">
        <f t="shared" si="1"/>
        <v>9850000</v>
      </c>
      <c r="I13" s="241"/>
      <c r="J13" s="133"/>
      <c r="K13" s="132"/>
      <c r="L13" s="131"/>
      <c r="M13" s="236"/>
      <c r="N13" s="294"/>
      <c r="O13" s="142"/>
    </row>
    <row r="14" spans="1:16">
      <c r="A14" s="55">
        <v>1932</v>
      </c>
      <c r="B14" s="20">
        <v>150251</v>
      </c>
      <c r="C14" s="22"/>
      <c r="D14" s="56">
        <f t="shared" si="0"/>
        <v>150251</v>
      </c>
      <c r="E14" s="56">
        <f>D14/'Pop &amp; CPI'!C5</f>
        <v>988493.42105263157</v>
      </c>
      <c r="F14" s="129">
        <f>E14/'Pop &amp; CPI'!B5</f>
        <v>1.9231389514642638</v>
      </c>
      <c r="G14" s="62">
        <v>0.02</v>
      </c>
      <c r="H14" s="16">
        <f t="shared" si="1"/>
        <v>7512550</v>
      </c>
      <c r="I14" s="242"/>
      <c r="J14" s="22"/>
      <c r="K14" s="105"/>
      <c r="L14" s="128"/>
      <c r="M14" s="237"/>
      <c r="N14" s="295"/>
      <c r="O14" s="88"/>
    </row>
    <row r="15" spans="1:16">
      <c r="A15" s="55">
        <v>1933</v>
      </c>
      <c r="B15" s="20">
        <v>120045</v>
      </c>
      <c r="C15" s="22"/>
      <c r="D15" s="56">
        <f t="shared" si="0"/>
        <v>120045</v>
      </c>
      <c r="E15" s="56">
        <f>D15/'Pop &amp; CPI'!C6</f>
        <v>876240.87591240893</v>
      </c>
      <c r="F15" s="129">
        <f>E15/'Pop &amp; CPI'!B6</f>
        <v>1.7014385940046775</v>
      </c>
      <c r="G15" s="62">
        <v>0.02</v>
      </c>
      <c r="H15" s="16">
        <f t="shared" si="1"/>
        <v>6002250</v>
      </c>
      <c r="I15" s="242"/>
      <c r="J15" s="22"/>
      <c r="K15" s="105"/>
      <c r="L15" s="128"/>
      <c r="M15" s="237"/>
      <c r="N15" s="295"/>
      <c r="O15" s="88"/>
    </row>
    <row r="16" spans="1:16">
      <c r="A16" s="55">
        <v>1934</v>
      </c>
      <c r="B16" s="20">
        <v>189396</v>
      </c>
      <c r="C16" s="22"/>
      <c r="D16" s="56">
        <f t="shared" si="0"/>
        <v>189396</v>
      </c>
      <c r="E16" s="56">
        <f>D16/'Pop &amp; CPI'!C7</f>
        <v>1456892.3076923077</v>
      </c>
      <c r="F16" s="129">
        <f>E16/'Pop &amp; CPI'!B7</f>
        <v>2.8071142730102268</v>
      </c>
      <c r="G16" s="62">
        <v>0.02</v>
      </c>
      <c r="H16" s="16">
        <f t="shared" si="1"/>
        <v>9469800</v>
      </c>
      <c r="I16" s="243"/>
      <c r="J16" s="22"/>
      <c r="K16" s="105"/>
      <c r="L16" s="128"/>
      <c r="M16" s="237"/>
      <c r="N16" s="295"/>
      <c r="O16" s="88">
        <v>2</v>
      </c>
    </row>
    <row r="17" spans="1:15">
      <c r="A17" s="58">
        <v>1935</v>
      </c>
      <c r="B17" s="21">
        <v>243165</v>
      </c>
      <c r="C17" s="126"/>
      <c r="D17" s="59">
        <f t="shared" si="0"/>
        <v>243165</v>
      </c>
      <c r="E17" s="59">
        <f>D17/'Pop &amp; CPI'!C8</f>
        <v>1814664.1791044774</v>
      </c>
      <c r="F17" s="136">
        <f>E17/'Pop &amp; CPI'!B8</f>
        <v>3.4763681592039797</v>
      </c>
      <c r="G17" s="63">
        <v>0.02</v>
      </c>
      <c r="H17" s="18">
        <f t="shared" si="1"/>
        <v>12158250</v>
      </c>
      <c r="I17" s="244"/>
      <c r="J17" s="126"/>
      <c r="K17" s="100"/>
      <c r="L17" s="127"/>
      <c r="M17" s="238"/>
      <c r="N17" s="296"/>
      <c r="O17" s="90"/>
    </row>
    <row r="18" spans="1:15">
      <c r="A18" s="68">
        <v>1936</v>
      </c>
      <c r="B18" s="137">
        <v>284493</v>
      </c>
      <c r="C18" s="133"/>
      <c r="D18" s="53">
        <f t="shared" si="0"/>
        <v>284493</v>
      </c>
      <c r="E18" s="53">
        <f>D18/'Pop &amp; CPI'!C9</f>
        <v>2076591.2408759126</v>
      </c>
      <c r="F18" s="135">
        <f>E18/'Pop &amp; CPI'!B9</f>
        <v>3.9629603833509783</v>
      </c>
      <c r="G18" s="134">
        <v>0.02</v>
      </c>
      <c r="H18" s="232">
        <f t="shared" si="1"/>
        <v>14224650</v>
      </c>
      <c r="I18" s="241"/>
      <c r="J18" s="133"/>
      <c r="K18" s="132"/>
      <c r="L18" s="131"/>
      <c r="M18" s="236"/>
      <c r="N18" s="294"/>
      <c r="O18" s="142"/>
    </row>
    <row r="19" spans="1:15">
      <c r="A19" s="55">
        <v>1937</v>
      </c>
      <c r="B19" s="20">
        <v>326264</v>
      </c>
      <c r="C19" s="22"/>
      <c r="D19" s="56">
        <f t="shared" si="0"/>
        <v>326264</v>
      </c>
      <c r="E19" s="56">
        <f>D19/'Pop &amp; CPI'!C10</f>
        <v>2347223.0215827334</v>
      </c>
      <c r="F19" s="129">
        <f>E19/'Pop &amp; CPI'!B10</f>
        <v>4.4539336272917138</v>
      </c>
      <c r="G19" s="62">
        <v>0.02</v>
      </c>
      <c r="H19" s="16">
        <f t="shared" si="1"/>
        <v>16313200</v>
      </c>
      <c r="I19" s="242"/>
      <c r="J19" s="22"/>
      <c r="K19" s="105"/>
      <c r="L19" s="128"/>
      <c r="M19" s="237"/>
      <c r="N19" s="295"/>
      <c r="O19" s="88"/>
    </row>
    <row r="20" spans="1:15">
      <c r="A20" s="55">
        <v>1938</v>
      </c>
      <c r="B20" s="20">
        <v>348473</v>
      </c>
      <c r="C20" s="22"/>
      <c r="D20" s="56">
        <f t="shared" si="0"/>
        <v>348473</v>
      </c>
      <c r="E20" s="56">
        <f>D20/'Pop &amp; CPI'!C11</f>
        <v>2419951.3888888885</v>
      </c>
      <c r="F20" s="129">
        <f>E20/'Pop &amp; CPI'!B11</f>
        <v>4.5832412668350164</v>
      </c>
      <c r="G20" s="62">
        <v>0.02</v>
      </c>
      <c r="H20" s="16">
        <f t="shared" si="1"/>
        <v>17423650</v>
      </c>
      <c r="I20" s="242"/>
      <c r="J20" s="22"/>
      <c r="K20" s="105"/>
      <c r="L20" s="128"/>
      <c r="M20" s="237"/>
      <c r="N20" s="295"/>
      <c r="O20" s="88"/>
    </row>
    <row r="21" spans="1:15">
      <c r="A21" s="55">
        <v>1939</v>
      </c>
      <c r="B21" s="20">
        <v>348921</v>
      </c>
      <c r="C21" s="22"/>
      <c r="D21" s="56">
        <f t="shared" si="0"/>
        <v>348921</v>
      </c>
      <c r="E21" s="56">
        <f>D21/'Pop &amp; CPI'!C12</f>
        <v>2474617.021276596</v>
      </c>
      <c r="F21" s="129">
        <f>E21/'Pop &amp; CPI'!B12</f>
        <v>4.5573057482073596</v>
      </c>
      <c r="G21" s="62">
        <v>0.02</v>
      </c>
      <c r="H21" s="16">
        <f t="shared" si="1"/>
        <v>17446050</v>
      </c>
      <c r="I21" s="243"/>
      <c r="J21" s="22"/>
      <c r="K21" s="105"/>
      <c r="L21" s="128"/>
      <c r="M21" s="237"/>
      <c r="N21" s="295"/>
      <c r="O21" s="88"/>
    </row>
    <row r="22" spans="1:15">
      <c r="A22" s="58">
        <v>1940</v>
      </c>
      <c r="B22" s="21">
        <v>380442</v>
      </c>
      <c r="C22" s="126"/>
      <c r="D22" s="59">
        <f t="shared" si="0"/>
        <v>380442</v>
      </c>
      <c r="E22" s="59">
        <f>D22/'Pop &amp; CPI'!C13</f>
        <v>2736992.8057553954</v>
      </c>
      <c r="F22" s="136">
        <f>E22/'Pop &amp; CPI'!B13</f>
        <v>5.0405024047060687</v>
      </c>
      <c r="G22" s="63">
        <v>0.02</v>
      </c>
      <c r="H22" s="18">
        <f t="shared" si="1"/>
        <v>19022100</v>
      </c>
      <c r="I22" s="244"/>
      <c r="J22" s="126"/>
      <c r="K22" s="100"/>
      <c r="L22" s="127"/>
      <c r="M22" s="238"/>
      <c r="N22" s="296"/>
      <c r="O22" s="90"/>
    </row>
    <row r="23" spans="1:15">
      <c r="A23" s="68">
        <v>1941</v>
      </c>
      <c r="B23" s="137">
        <v>369427</v>
      </c>
      <c r="C23" s="133"/>
      <c r="D23" s="53">
        <f t="shared" si="0"/>
        <v>369427</v>
      </c>
      <c r="E23" s="53">
        <f>D23/'Pop &amp; CPI'!C14</f>
        <v>2638764.2857142854</v>
      </c>
      <c r="F23" s="135">
        <f>E23/'Pop &amp; CPI'!B14</f>
        <v>4.7821027287319415</v>
      </c>
      <c r="G23" s="134">
        <v>0.02</v>
      </c>
      <c r="H23" s="232">
        <f t="shared" si="1"/>
        <v>18471350</v>
      </c>
      <c r="I23" s="241"/>
      <c r="J23" s="133"/>
      <c r="K23" s="132"/>
      <c r="L23" s="131"/>
      <c r="M23" s="236"/>
      <c r="N23" s="294"/>
      <c r="O23" s="142"/>
    </row>
    <row r="24" spans="1:15">
      <c r="A24" s="55">
        <v>1942</v>
      </c>
      <c r="B24" s="20">
        <v>438577</v>
      </c>
      <c r="C24" s="22"/>
      <c r="D24" s="56">
        <f t="shared" si="0"/>
        <v>438577</v>
      </c>
      <c r="E24" s="56">
        <f>D24/'Pop &amp; CPI'!C15</f>
        <v>2983517.0068027214</v>
      </c>
      <c r="F24" s="129">
        <f>E24/'Pop &amp; CPI'!B15</f>
        <v>5.4147314098053023</v>
      </c>
      <c r="G24" s="62">
        <v>0.02</v>
      </c>
      <c r="H24" s="16">
        <f t="shared" si="1"/>
        <v>21928850</v>
      </c>
      <c r="I24" s="242"/>
      <c r="J24" s="22"/>
      <c r="K24" s="105"/>
      <c r="L24" s="128"/>
      <c r="M24" s="237"/>
      <c r="N24" s="295"/>
      <c r="O24" s="88"/>
    </row>
    <row r="25" spans="1:15">
      <c r="A25" s="55">
        <v>1943</v>
      </c>
      <c r="B25" s="20">
        <v>634137</v>
      </c>
      <c r="C25" s="22"/>
      <c r="D25" s="56">
        <f t="shared" si="0"/>
        <v>634137</v>
      </c>
      <c r="E25" s="56">
        <f>D25/'Pop &amp; CPI'!C16</f>
        <v>3890411.0429447852</v>
      </c>
      <c r="F25" s="129">
        <f>E25/'Pop &amp; CPI'!B16</f>
        <v>6.8109437026344279</v>
      </c>
      <c r="G25" s="62">
        <v>0.02</v>
      </c>
      <c r="H25" s="16">
        <f t="shared" si="1"/>
        <v>31706850</v>
      </c>
      <c r="I25" s="242"/>
      <c r="J25" s="22"/>
      <c r="K25" s="105"/>
      <c r="L25" s="128"/>
      <c r="M25" s="237"/>
      <c r="N25" s="295"/>
      <c r="O25" s="88"/>
    </row>
    <row r="26" spans="1:15">
      <c r="A26" s="55">
        <v>1944</v>
      </c>
      <c r="B26" s="20">
        <v>646326</v>
      </c>
      <c r="C26" s="22"/>
      <c r="D26" s="56">
        <f t="shared" si="0"/>
        <v>646326</v>
      </c>
      <c r="E26" s="56">
        <f>D26/'Pop &amp; CPI'!C17</f>
        <v>3735988.4393063579</v>
      </c>
      <c r="F26" s="129">
        <f>E26/'Pop &amp; CPI'!B17</f>
        <v>5.8374819364161841</v>
      </c>
      <c r="G26" s="62">
        <v>0.02</v>
      </c>
      <c r="H26" s="16">
        <f t="shared" si="1"/>
        <v>32316300</v>
      </c>
      <c r="I26" s="243"/>
      <c r="J26" s="22"/>
      <c r="K26" s="105"/>
      <c r="L26" s="128"/>
      <c r="M26" s="237"/>
      <c r="N26" s="295"/>
      <c r="O26" s="88"/>
    </row>
    <row r="27" spans="1:15">
      <c r="A27" s="58">
        <v>1945</v>
      </c>
      <c r="B27" s="21">
        <v>553147</v>
      </c>
      <c r="C27" s="126"/>
      <c r="D27" s="59">
        <f t="shared" si="0"/>
        <v>553147</v>
      </c>
      <c r="E27" s="59">
        <f>D27/'Pop &amp; CPI'!C18</f>
        <v>3142880.6818181816</v>
      </c>
      <c r="F27" s="136">
        <f>E27/'Pop &amp; CPI'!B18</f>
        <v>5.1974213358990928</v>
      </c>
      <c r="G27" s="63">
        <v>0.02</v>
      </c>
      <c r="H27" s="18">
        <f t="shared" si="1"/>
        <v>27657350</v>
      </c>
      <c r="I27" s="244"/>
      <c r="J27" s="126"/>
      <c r="K27" s="100"/>
      <c r="L27" s="127"/>
      <c r="M27" s="238"/>
      <c r="N27" s="296"/>
      <c r="O27" s="90"/>
    </row>
    <row r="28" spans="1:15">
      <c r="A28" s="68">
        <v>1946</v>
      </c>
      <c r="B28" s="137">
        <v>757165</v>
      </c>
      <c r="C28" s="133"/>
      <c r="D28" s="53">
        <f t="shared" si="0"/>
        <v>757165</v>
      </c>
      <c r="E28" s="53">
        <f>D28/'Pop &amp; CPI'!C19</f>
        <v>4206472.222222222</v>
      </c>
      <c r="F28" s="135">
        <f>E28/'Pop &amp; CPI'!B19</f>
        <v>7.1405062336143645</v>
      </c>
      <c r="G28" s="134">
        <v>0.02</v>
      </c>
      <c r="H28" s="232">
        <f t="shared" si="1"/>
        <v>37858250</v>
      </c>
      <c r="I28" s="241"/>
      <c r="J28" s="133"/>
      <c r="K28" s="132"/>
      <c r="L28" s="131"/>
      <c r="M28" s="236"/>
      <c r="N28" s="294"/>
      <c r="O28" s="142"/>
    </row>
    <row r="29" spans="1:15">
      <c r="A29" s="55">
        <v>1947</v>
      </c>
      <c r="B29" s="20">
        <v>826940</v>
      </c>
      <c r="C29" s="22"/>
      <c r="D29" s="56">
        <f t="shared" si="0"/>
        <v>826940</v>
      </c>
      <c r="E29" s="56">
        <f>D29/'Pop &amp; CPI'!C20</f>
        <v>4240717.948717949</v>
      </c>
      <c r="F29" s="129">
        <f>E29/'Pop &amp; CPI'!B20</f>
        <v>6.6468933365485094</v>
      </c>
      <c r="G29" s="62">
        <v>0.02</v>
      </c>
      <c r="H29" s="16">
        <f t="shared" si="1"/>
        <v>41347000</v>
      </c>
      <c r="I29" s="242"/>
      <c r="J29" s="22"/>
      <c r="K29" s="105"/>
      <c r="L29" s="128"/>
      <c r="M29" s="237"/>
      <c r="N29" s="295"/>
      <c r="O29" s="88"/>
    </row>
    <row r="30" spans="1:15">
      <c r="A30" s="55">
        <v>1948</v>
      </c>
      <c r="B30" s="20">
        <v>888009</v>
      </c>
      <c r="C30" s="22"/>
      <c r="D30" s="56">
        <f t="shared" si="0"/>
        <v>888009</v>
      </c>
      <c r="E30" s="56">
        <f>D30/'Pop &amp; CPI'!C21</f>
        <v>3982103.1390134529</v>
      </c>
      <c r="F30" s="129">
        <f>E30/'Pop &amp; CPI'!B21</f>
        <v>6.2611684575683224</v>
      </c>
      <c r="G30" s="62">
        <v>0.02</v>
      </c>
      <c r="H30" s="16">
        <f t="shared" si="1"/>
        <v>44400450</v>
      </c>
      <c r="I30" s="242"/>
      <c r="J30" s="22"/>
      <c r="K30" s="105"/>
      <c r="L30" s="128"/>
      <c r="M30" s="237"/>
      <c r="N30" s="295"/>
      <c r="O30" s="88"/>
    </row>
    <row r="31" spans="1:15">
      <c r="A31" s="55">
        <v>1949</v>
      </c>
      <c r="B31" s="20">
        <v>903123</v>
      </c>
      <c r="C31" s="22"/>
      <c r="D31" s="56">
        <f t="shared" si="0"/>
        <v>903123</v>
      </c>
      <c r="E31" s="56">
        <f>D31/'Pop &amp; CPI'!C22</f>
        <v>3747398.3402489624</v>
      </c>
      <c r="F31" s="129">
        <f>E31/'Pop &amp; CPI'!B22</f>
        <v>5.7387417155420559</v>
      </c>
      <c r="G31" s="62">
        <v>0.02</v>
      </c>
      <c r="H31" s="16">
        <f t="shared" si="1"/>
        <v>45156150</v>
      </c>
      <c r="I31" s="243"/>
      <c r="J31" s="22"/>
      <c r="K31" s="105"/>
      <c r="L31" s="128"/>
      <c r="M31" s="237"/>
      <c r="N31" s="295"/>
      <c r="O31" s="88"/>
    </row>
    <row r="32" spans="1:15">
      <c r="A32" s="58">
        <v>1950</v>
      </c>
      <c r="B32" s="21">
        <v>905489</v>
      </c>
      <c r="C32" s="126"/>
      <c r="D32" s="59">
        <f t="shared" si="0"/>
        <v>905489</v>
      </c>
      <c r="E32" s="59">
        <f>D32/'Pop &amp; CPI'!C23</f>
        <v>3804575.6302521005</v>
      </c>
      <c r="F32" s="136">
        <f>E32/'Pop &amp; CPI'!B23</f>
        <v>5.6716989121229879</v>
      </c>
      <c r="G32" s="63">
        <v>0.02</v>
      </c>
      <c r="H32" s="18">
        <f t="shared" si="1"/>
        <v>45274450</v>
      </c>
      <c r="I32" s="244"/>
      <c r="J32" s="126"/>
      <c r="K32" s="100"/>
      <c r="L32" s="127"/>
      <c r="M32" s="238"/>
      <c r="N32" s="296"/>
      <c r="O32" s="90"/>
    </row>
    <row r="33" spans="1:15">
      <c r="A33" s="68">
        <v>1951</v>
      </c>
      <c r="B33" s="137">
        <v>931213</v>
      </c>
      <c r="C33" s="133"/>
      <c r="D33" s="53">
        <f t="shared" si="0"/>
        <v>931213</v>
      </c>
      <c r="E33" s="53">
        <f>D33/'Pop &amp; CPI'!C24</f>
        <v>3863954.3568464727</v>
      </c>
      <c r="F33" s="135">
        <f>E33/'Pop &amp; CPI'!B24</f>
        <v>5.5524563254008807</v>
      </c>
      <c r="G33" s="134">
        <v>0.02</v>
      </c>
      <c r="H33" s="232">
        <f t="shared" si="1"/>
        <v>46560650</v>
      </c>
      <c r="I33" s="241"/>
      <c r="J33" s="133"/>
      <c r="K33" s="132"/>
      <c r="L33" s="131"/>
      <c r="M33" s="236"/>
      <c r="N33" s="294"/>
      <c r="O33" s="142"/>
    </row>
    <row r="34" spans="1:15">
      <c r="A34" s="55">
        <v>1952</v>
      </c>
      <c r="B34" s="20">
        <v>951777</v>
      </c>
      <c r="C34" s="22"/>
      <c r="D34" s="56">
        <f t="shared" si="0"/>
        <v>951777</v>
      </c>
      <c r="E34" s="56">
        <f>D34/'Pop &amp; CPI'!C25</f>
        <v>3660680.769230769</v>
      </c>
      <c r="F34" s="129">
        <f>E34/'Pop &amp; CPI'!B25</f>
        <v>5.184365910254594</v>
      </c>
      <c r="G34" s="62">
        <v>0.02</v>
      </c>
      <c r="H34" s="16">
        <f t="shared" si="1"/>
        <v>47588850</v>
      </c>
      <c r="I34" s="242"/>
      <c r="J34" s="22"/>
      <c r="K34" s="105"/>
      <c r="L34" s="128"/>
      <c r="M34" s="237"/>
      <c r="N34" s="295"/>
      <c r="O34" s="88"/>
    </row>
    <row r="35" spans="1:15">
      <c r="A35" s="55">
        <v>1953</v>
      </c>
      <c r="B35" s="20">
        <v>978855</v>
      </c>
      <c r="C35" s="22"/>
      <c r="D35" s="56">
        <f t="shared" si="0"/>
        <v>978855</v>
      </c>
      <c r="E35" s="56">
        <f>D35/'Pop &amp; CPI'!C26</f>
        <v>3693792.4528301884</v>
      </c>
      <c r="F35" s="129">
        <f>E35/'Pop &amp; CPI'!B26</f>
        <v>5.1019232773897629</v>
      </c>
      <c r="G35" s="62">
        <v>0.02</v>
      </c>
      <c r="H35" s="16">
        <f t="shared" si="1"/>
        <v>48942750</v>
      </c>
      <c r="I35" s="242"/>
      <c r="J35" s="22"/>
      <c r="K35" s="105"/>
      <c r="L35" s="128"/>
      <c r="M35" s="237"/>
      <c r="N35" s="295"/>
      <c r="O35" s="88"/>
    </row>
    <row r="36" spans="1:15">
      <c r="A36" s="55">
        <v>1954</v>
      </c>
      <c r="B36" s="20">
        <v>1231463</v>
      </c>
      <c r="C36" s="22"/>
      <c r="D36" s="56">
        <f t="shared" si="0"/>
        <v>1231463</v>
      </c>
      <c r="E36" s="56">
        <f>D36/'Pop &amp; CPI'!C27</f>
        <v>4612220.9737827713</v>
      </c>
      <c r="F36" s="129">
        <f>E36/'Pop &amp; CPI'!B27</f>
        <v>6.2403206247906526</v>
      </c>
      <c r="G36" s="62">
        <v>2.7230000000000001E-2</v>
      </c>
      <c r="H36" s="16">
        <f t="shared" si="1"/>
        <v>45224495.042232834</v>
      </c>
      <c r="I36" s="243"/>
      <c r="J36" s="22"/>
      <c r="K36" s="105"/>
      <c r="L36" s="128"/>
      <c r="M36" s="237"/>
      <c r="N36" s="295"/>
      <c r="O36" s="88" t="s">
        <v>4</v>
      </c>
    </row>
    <row r="37" spans="1:15">
      <c r="A37" s="58">
        <v>1955</v>
      </c>
      <c r="B37" s="21">
        <v>1824278</v>
      </c>
      <c r="C37" s="126"/>
      <c r="D37" s="59">
        <f t="shared" si="0"/>
        <v>1824278</v>
      </c>
      <c r="E37" s="59">
        <f>D37/'Pop &amp; CPI'!C28</f>
        <v>6781702.6022304846</v>
      </c>
      <c r="F37" s="136">
        <f>E37/'Pop &amp; CPI'!B28</f>
        <v>9.0362459723257622</v>
      </c>
      <c r="G37" s="63">
        <v>0.04</v>
      </c>
      <c r="H37" s="18">
        <f t="shared" ref="H37:H68" si="2">(D37/G37)</f>
        <v>45606950</v>
      </c>
      <c r="I37" s="244"/>
      <c r="J37" s="126"/>
      <c r="K37" s="100"/>
      <c r="L37" s="127"/>
      <c r="M37" s="238"/>
      <c r="N37" s="296"/>
      <c r="O37" s="90"/>
    </row>
    <row r="38" spans="1:15">
      <c r="A38" s="68">
        <v>1956</v>
      </c>
      <c r="B38" s="137">
        <v>1917469</v>
      </c>
      <c r="C38" s="133"/>
      <c r="D38" s="53">
        <f t="shared" si="0"/>
        <v>1917469</v>
      </c>
      <c r="E38" s="53">
        <f>D38/'Pop &amp; CPI'!C29</f>
        <v>7154735.0746268649</v>
      </c>
      <c r="F38" s="135">
        <f>E38/'Pop &amp; CPI'!B29</f>
        <v>9.1399272797992648</v>
      </c>
      <c r="G38" s="134">
        <v>0.04</v>
      </c>
      <c r="H38" s="232">
        <f t="shared" si="2"/>
        <v>47936725</v>
      </c>
      <c r="I38" s="241"/>
      <c r="J38" s="133"/>
      <c r="K38" s="132"/>
      <c r="L38" s="131"/>
      <c r="M38" s="236"/>
      <c r="N38" s="294"/>
      <c r="O38" s="142"/>
    </row>
    <row r="39" spans="1:15">
      <c r="A39" s="55">
        <v>1957</v>
      </c>
      <c r="B39" s="20">
        <v>1996378</v>
      </c>
      <c r="C39" s="22"/>
      <c r="D39" s="56">
        <f t="shared" si="0"/>
        <v>1996378</v>
      </c>
      <c r="E39" s="56">
        <f>D39/'Pop &amp; CPI'!C30</f>
        <v>7339624.9999999991</v>
      </c>
      <c r="F39" s="129">
        <f>E39/'Pop &amp; CPI'!B30</f>
        <v>9.0747094460929763</v>
      </c>
      <c r="G39" s="62">
        <v>0.04</v>
      </c>
      <c r="H39" s="16">
        <f t="shared" si="2"/>
        <v>49909450</v>
      </c>
      <c r="I39" s="242"/>
      <c r="J39" s="22"/>
      <c r="K39" s="105"/>
      <c r="L39" s="128"/>
      <c r="M39" s="237"/>
      <c r="N39" s="295"/>
      <c r="O39" s="88"/>
    </row>
    <row r="40" spans="1:15">
      <c r="A40" s="55">
        <v>1958</v>
      </c>
      <c r="B40" s="20">
        <v>2045613</v>
      </c>
      <c r="C40" s="22"/>
      <c r="D40" s="56">
        <f t="shared" si="0"/>
        <v>2045613</v>
      </c>
      <c r="E40" s="56">
        <f>D40/'Pop &amp; CPI'!C31</f>
        <v>7279761.5658362983</v>
      </c>
      <c r="F40" s="129">
        <f>E40/'Pop &amp; CPI'!B31</f>
        <v>8.8100708772071865</v>
      </c>
      <c r="G40" s="62">
        <v>0.04</v>
      </c>
      <c r="H40" s="16">
        <f t="shared" si="2"/>
        <v>51140325</v>
      </c>
      <c r="I40" s="242"/>
      <c r="J40" s="22"/>
      <c r="K40" s="105"/>
      <c r="L40" s="128"/>
      <c r="M40" s="237"/>
      <c r="N40" s="295"/>
      <c r="O40" s="88"/>
    </row>
    <row r="41" spans="1:15">
      <c r="A41" s="55">
        <v>1959</v>
      </c>
      <c r="B41" s="20">
        <v>2206133</v>
      </c>
      <c r="C41" s="22"/>
      <c r="D41" s="56">
        <f t="shared" si="0"/>
        <v>2206133</v>
      </c>
      <c r="E41" s="56">
        <f>D41/'Pop &amp; CPI'!C32</f>
        <v>7633678.2006920418</v>
      </c>
      <c r="F41" s="129">
        <f>E41/'Pop &amp; CPI'!B32</f>
        <v>9.0318009946664013</v>
      </c>
      <c r="G41" s="62">
        <v>0.04</v>
      </c>
      <c r="H41" s="16">
        <f t="shared" si="2"/>
        <v>55153325</v>
      </c>
      <c r="I41" s="243"/>
      <c r="J41" s="22"/>
      <c r="K41" s="105"/>
      <c r="L41" s="128"/>
      <c r="M41" s="237"/>
      <c r="N41" s="295"/>
      <c r="O41" s="88"/>
    </row>
    <row r="42" spans="1:15">
      <c r="A42" s="58">
        <v>1960</v>
      </c>
      <c r="B42" s="21">
        <v>2329515</v>
      </c>
      <c r="C42" s="126"/>
      <c r="D42" s="59">
        <f t="shared" si="0"/>
        <v>2329515</v>
      </c>
      <c r="E42" s="59">
        <f>D42/'Pop &amp; CPI'!C33</f>
        <v>8005206.1855670093</v>
      </c>
      <c r="F42" s="136">
        <f>E42/'Pop &amp; CPI'!B33</f>
        <v>9.2024441723956887</v>
      </c>
      <c r="G42" s="63">
        <v>0.04</v>
      </c>
      <c r="H42" s="18">
        <f t="shared" si="2"/>
        <v>58237875</v>
      </c>
      <c r="I42" s="244"/>
      <c r="J42" s="126"/>
      <c r="K42" s="100"/>
      <c r="L42" s="127"/>
      <c r="M42" s="238"/>
      <c r="N42" s="296"/>
      <c r="O42" s="90"/>
    </row>
    <row r="43" spans="1:15">
      <c r="A43" s="68">
        <v>1961</v>
      </c>
      <c r="B43" s="137">
        <v>2465414</v>
      </c>
      <c r="C43" s="133"/>
      <c r="D43" s="53">
        <f t="shared" si="0"/>
        <v>2465414</v>
      </c>
      <c r="E43" s="53">
        <f>D43/'Pop &amp; CPI'!C34</f>
        <v>8329101.3513513505</v>
      </c>
      <c r="F43" s="135">
        <f>E43/'Pop &amp; CPI'!B34</f>
        <v>9.2545570570570561</v>
      </c>
      <c r="G43" s="134">
        <v>0.04</v>
      </c>
      <c r="H43" s="232">
        <f t="shared" si="2"/>
        <v>61635350</v>
      </c>
      <c r="I43" s="241"/>
      <c r="J43" s="133"/>
      <c r="K43" s="132"/>
      <c r="L43" s="131"/>
      <c r="M43" s="236"/>
      <c r="N43" s="294"/>
      <c r="O43" s="142"/>
    </row>
    <row r="44" spans="1:15">
      <c r="A44" s="55">
        <v>1962</v>
      </c>
      <c r="B44" s="20">
        <v>2471708</v>
      </c>
      <c r="C44" s="22"/>
      <c r="D44" s="56">
        <f t="shared" si="0"/>
        <v>2471708</v>
      </c>
      <c r="E44" s="56">
        <f>D44/'Pop &amp; CPI'!C35</f>
        <v>8266581.9397993311</v>
      </c>
      <c r="F44" s="129">
        <f>E44/'Pop &amp; CPI'!B35</f>
        <v>8.8318183117514213</v>
      </c>
      <c r="G44" s="62">
        <v>0.04</v>
      </c>
      <c r="H44" s="16">
        <f t="shared" si="2"/>
        <v>61792700</v>
      </c>
      <c r="I44" s="242"/>
      <c r="J44" s="22"/>
      <c r="K44" s="105"/>
      <c r="L44" s="128"/>
      <c r="M44" s="237"/>
      <c r="N44" s="295"/>
      <c r="O44" s="88"/>
    </row>
    <row r="45" spans="1:15">
      <c r="A45" s="55">
        <v>1963</v>
      </c>
      <c r="B45" s="20">
        <v>2630727</v>
      </c>
      <c r="C45" s="22"/>
      <c r="D45" s="56">
        <f t="shared" si="0"/>
        <v>2630727</v>
      </c>
      <c r="E45" s="56">
        <f>D45/'Pop &amp; CPI'!C36</f>
        <v>8711016.5562913902</v>
      </c>
      <c r="F45" s="129">
        <f>E45/'Pop &amp; CPI'!B36</f>
        <v>9.0929191610557307</v>
      </c>
      <c r="G45" s="62">
        <v>4.5039999999999997E-2</v>
      </c>
      <c r="H45" s="16">
        <f t="shared" si="2"/>
        <v>58408681.172291301</v>
      </c>
      <c r="I45" s="242"/>
      <c r="J45" s="22"/>
      <c r="K45" s="105"/>
      <c r="L45" s="128"/>
      <c r="M45" s="237"/>
      <c r="N45" s="295"/>
      <c r="O45" s="88">
        <v>5</v>
      </c>
    </row>
    <row r="46" spans="1:15">
      <c r="A46" s="55">
        <v>1964</v>
      </c>
      <c r="B46" s="20">
        <v>4667788</v>
      </c>
      <c r="C46" s="22"/>
      <c r="D46" s="56">
        <f t="shared" si="0"/>
        <v>4667788</v>
      </c>
      <c r="E46" s="56">
        <f>D46/'Pop &amp; CPI'!C37</f>
        <v>15254209.150326798</v>
      </c>
      <c r="F46" s="129">
        <f>E46/'Pop &amp; CPI'!B37</f>
        <v>15.661405698487473</v>
      </c>
      <c r="G46" s="62">
        <v>0.08</v>
      </c>
      <c r="H46" s="16">
        <f t="shared" si="2"/>
        <v>58347350</v>
      </c>
      <c r="I46" s="243">
        <v>179658</v>
      </c>
      <c r="J46" s="22">
        <f>I46/'Pop &amp; CPI'!C37</f>
        <v>587117.6470588235</v>
      </c>
      <c r="K46" s="105">
        <f>J46/'Pop &amp; CPI'!B37</f>
        <v>0.60279019205218021</v>
      </c>
      <c r="L46" s="128">
        <v>25</v>
      </c>
      <c r="M46" s="237"/>
      <c r="N46" s="295"/>
      <c r="O46" s="88"/>
    </row>
    <row r="47" spans="1:15">
      <c r="A47" s="58">
        <v>1965</v>
      </c>
      <c r="B47" s="21">
        <v>4995076</v>
      </c>
      <c r="C47" s="126"/>
      <c r="D47" s="59">
        <f t="shared" si="0"/>
        <v>4995076</v>
      </c>
      <c r="E47" s="59">
        <f>D47/'Pop &amp; CPI'!C38</f>
        <v>16113148.387096774</v>
      </c>
      <c r="F47" s="136">
        <f>E47/'Pop &amp; CPI'!B38</f>
        <v>16.475611847747214</v>
      </c>
      <c r="G47" s="63">
        <v>0.08</v>
      </c>
      <c r="H47" s="18">
        <f t="shared" si="2"/>
        <v>62438450</v>
      </c>
      <c r="I47" s="244">
        <v>225934</v>
      </c>
      <c r="J47" s="126">
        <f>I47/'Pop &amp; CPI'!C38</f>
        <v>728819.3548387097</v>
      </c>
      <c r="K47" s="100">
        <f>J47/'Pop &amp; CPI'!B38</f>
        <v>0.74521406425225944</v>
      </c>
      <c r="L47" s="127">
        <v>25</v>
      </c>
      <c r="M47" s="238"/>
      <c r="N47" s="296"/>
      <c r="O47" s="90"/>
    </row>
    <row r="48" spans="1:15">
      <c r="A48" s="68">
        <v>1966</v>
      </c>
      <c r="B48" s="137">
        <v>5042644</v>
      </c>
      <c r="C48" s="133"/>
      <c r="D48" s="53">
        <f t="shared" si="0"/>
        <v>5042644</v>
      </c>
      <c r="E48" s="53">
        <f>D48/'Pop &amp; CPI'!C39</f>
        <v>16008393.650793651</v>
      </c>
      <c r="F48" s="135">
        <f>E48/'Pop &amp; CPI'!B39</f>
        <v>16.153777649640414</v>
      </c>
      <c r="G48" s="134">
        <v>0.08</v>
      </c>
      <c r="H48" s="232">
        <f t="shared" si="2"/>
        <v>63033050</v>
      </c>
      <c r="I48" s="241">
        <v>193444</v>
      </c>
      <c r="J48" s="133">
        <f>I48/'Pop &amp; CPI'!C39</f>
        <v>614107.93650793645</v>
      </c>
      <c r="K48" s="132">
        <f>J48/'Pop &amp; CPI'!B39</f>
        <v>0.61968510242980468</v>
      </c>
      <c r="L48" s="131">
        <v>25</v>
      </c>
      <c r="M48" s="236"/>
      <c r="N48" s="294"/>
      <c r="O48" s="142"/>
    </row>
    <row r="49" spans="1:15">
      <c r="A49" s="55">
        <v>1967</v>
      </c>
      <c r="B49" s="20">
        <v>4993168</v>
      </c>
      <c r="C49" s="22"/>
      <c r="D49" s="56">
        <f t="shared" si="0"/>
        <v>4993168</v>
      </c>
      <c r="E49" s="56">
        <f>D49/'Pop &amp; CPI'!C40</f>
        <v>15411012.345679011</v>
      </c>
      <c r="F49" s="129">
        <f>E49/'Pop &amp; CPI'!B40</f>
        <v>15.273550392149664</v>
      </c>
      <c r="G49" s="62">
        <v>0.08</v>
      </c>
      <c r="H49" s="16">
        <f t="shared" si="2"/>
        <v>62414600</v>
      </c>
      <c r="I49" s="242">
        <v>183155</v>
      </c>
      <c r="J49" s="22">
        <f>I49/'Pop &amp; CPI'!C40</f>
        <v>565293.20987654314</v>
      </c>
      <c r="K49" s="105">
        <f>J49/'Pop &amp; CPI'!B40</f>
        <v>0.5602509513147107</v>
      </c>
      <c r="L49" s="128">
        <v>25</v>
      </c>
      <c r="M49" s="237"/>
      <c r="N49" s="295"/>
      <c r="O49" s="88"/>
    </row>
    <row r="50" spans="1:15">
      <c r="A50" s="55">
        <v>1968</v>
      </c>
      <c r="B50" s="20">
        <v>5028470</v>
      </c>
      <c r="C50" s="22"/>
      <c r="D50" s="56">
        <f t="shared" si="0"/>
        <v>5028470</v>
      </c>
      <c r="E50" s="56">
        <f>D50/'Pop &amp; CPI'!C41</f>
        <v>15055299.401197607</v>
      </c>
      <c r="F50" s="129">
        <f>E50/'Pop &amp; CPI'!B41</f>
        <v>14.774582336798437</v>
      </c>
      <c r="G50" s="62">
        <v>0.08</v>
      </c>
      <c r="H50" s="16">
        <f t="shared" si="2"/>
        <v>62855875</v>
      </c>
      <c r="I50" s="242">
        <v>179572</v>
      </c>
      <c r="J50" s="22">
        <f>I50/'Pop &amp; CPI'!C41</f>
        <v>537640.71856287436</v>
      </c>
      <c r="K50" s="105">
        <f>J50/'Pop &amp; CPI'!B41</f>
        <v>0.52761601429133898</v>
      </c>
      <c r="L50" s="128">
        <v>25</v>
      </c>
      <c r="M50" s="237"/>
      <c r="N50" s="295"/>
      <c r="O50" s="88"/>
    </row>
    <row r="51" spans="1:15">
      <c r="A51" s="55">
        <v>1969</v>
      </c>
      <c r="B51" s="20">
        <v>5238619</v>
      </c>
      <c r="C51" s="22"/>
      <c r="D51" s="56">
        <f t="shared" si="0"/>
        <v>5238619</v>
      </c>
      <c r="E51" s="56">
        <f>D51/'Pop &amp; CPI'!C42</f>
        <v>15053502.873563219</v>
      </c>
      <c r="F51" s="129">
        <f>E51/'Pop &amp; CPI'!B42</f>
        <v>14.629254493258717</v>
      </c>
      <c r="G51" s="62">
        <v>0.08</v>
      </c>
      <c r="H51" s="16">
        <f t="shared" si="2"/>
        <v>65482737.5</v>
      </c>
      <c r="I51" s="243">
        <v>182860</v>
      </c>
      <c r="J51" s="22">
        <f>I51/'Pop &amp; CPI'!C42</f>
        <v>525459.77011494257</v>
      </c>
      <c r="K51" s="105">
        <f>J51/'Pop &amp; CPI'!B42</f>
        <v>0.51065089418361764</v>
      </c>
      <c r="L51" s="128">
        <v>25</v>
      </c>
      <c r="M51" s="237"/>
      <c r="N51" s="295"/>
      <c r="O51" s="88"/>
    </row>
    <row r="52" spans="1:15">
      <c r="A52" s="58">
        <v>1970</v>
      </c>
      <c r="B52" s="21">
        <v>5294104</v>
      </c>
      <c r="C52" s="126"/>
      <c r="D52" s="59">
        <f t="shared" si="0"/>
        <v>5294104</v>
      </c>
      <c r="E52" s="59">
        <f>D52/'Pop &amp; CPI'!C43</f>
        <v>14425351.4986376</v>
      </c>
      <c r="F52" s="136">
        <f>E52/'Pop &amp; CPI'!B43</f>
        <v>13.777795127638587</v>
      </c>
      <c r="G52" s="63">
        <v>0.08</v>
      </c>
      <c r="H52" s="18">
        <f t="shared" si="2"/>
        <v>66176300</v>
      </c>
      <c r="I52" s="244">
        <v>190836</v>
      </c>
      <c r="J52" s="126">
        <f>I52/'Pop &amp; CPI'!C43</f>
        <v>519989.10081743862</v>
      </c>
      <c r="K52" s="100">
        <f>J52/'Pop &amp; CPI'!B43</f>
        <v>0.49664670565180385</v>
      </c>
      <c r="L52" s="127">
        <v>25</v>
      </c>
      <c r="M52" s="238"/>
      <c r="N52" s="296"/>
      <c r="O52" s="90">
        <v>6</v>
      </c>
    </row>
    <row r="53" spans="1:15">
      <c r="A53" s="68">
        <v>1971</v>
      </c>
      <c r="B53" s="137">
        <v>5596549</v>
      </c>
      <c r="C53" s="133"/>
      <c r="D53" s="53">
        <f t="shared" si="0"/>
        <v>5596549</v>
      </c>
      <c r="E53" s="53">
        <f>D53/'Pop &amp; CPI'!C44</f>
        <v>14424095.360824743</v>
      </c>
      <c r="F53" s="135">
        <f>E53/'Pop &amp; CPI'!B44</f>
        <v>13.531046304713643</v>
      </c>
      <c r="G53" s="134">
        <v>0.08</v>
      </c>
      <c r="H53" s="232">
        <f t="shared" si="2"/>
        <v>69956862.5</v>
      </c>
      <c r="I53" s="241">
        <v>214843</v>
      </c>
      <c r="J53" s="133">
        <f>I53/'Pop &amp; CPI'!C44</f>
        <v>553719.07216494856</v>
      </c>
      <c r="K53" s="132">
        <f>J53/'Pop &amp; CPI'!B44</f>
        <v>0.51943627782828194</v>
      </c>
      <c r="L53" s="131">
        <v>25</v>
      </c>
      <c r="M53" s="236"/>
      <c r="N53" s="294"/>
      <c r="O53" s="142"/>
    </row>
    <row r="54" spans="1:15">
      <c r="A54" s="55">
        <v>1972</v>
      </c>
      <c r="B54" s="20">
        <v>6057789</v>
      </c>
      <c r="C54" s="22"/>
      <c r="D54" s="56">
        <f t="shared" si="0"/>
        <v>6057789</v>
      </c>
      <c r="E54" s="56">
        <f>D54/'Pop &amp; CPI'!C45</f>
        <v>14957503.703703703</v>
      </c>
      <c r="F54" s="129">
        <f>E54/'Pop &amp; CPI'!B45</f>
        <v>13.583529676886622</v>
      </c>
      <c r="G54" s="62">
        <v>0.08</v>
      </c>
      <c r="H54" s="16">
        <f t="shared" si="2"/>
        <v>75722362.5</v>
      </c>
      <c r="I54" s="242">
        <v>223404</v>
      </c>
      <c r="J54" s="22">
        <f>I54/'Pop &amp; CPI'!C45</f>
        <v>551614.81481481483</v>
      </c>
      <c r="K54" s="105">
        <f>J54/'Pop &amp; CPI'!B45</f>
        <v>0.50094429897363191</v>
      </c>
      <c r="L54" s="128">
        <v>25</v>
      </c>
      <c r="M54" s="237"/>
      <c r="N54" s="295"/>
      <c r="O54" s="88"/>
    </row>
    <row r="55" spans="1:15">
      <c r="A55" s="55">
        <v>1973</v>
      </c>
      <c r="B55" s="20">
        <v>6291683</v>
      </c>
      <c r="C55" s="22"/>
      <c r="D55" s="56">
        <f t="shared" si="0"/>
        <v>6291683</v>
      </c>
      <c r="E55" s="56">
        <f>D55/'Pop &amp; CPI'!C46</f>
        <v>15051873.205741627</v>
      </c>
      <c r="F55" s="129">
        <f>E55/'Pop &amp; CPI'!B46</f>
        <v>13.260393979157454</v>
      </c>
      <c r="G55" s="62">
        <v>0.08</v>
      </c>
      <c r="H55" s="16">
        <f t="shared" si="2"/>
        <v>78646037.5</v>
      </c>
      <c r="I55" s="242">
        <v>228956</v>
      </c>
      <c r="J55" s="22">
        <f>I55/'Pop &amp; CPI'!C46</f>
        <v>547741.62679425837</v>
      </c>
      <c r="K55" s="105">
        <f>J55/'Pop &amp; CPI'!B46</f>
        <v>0.48254922631861363</v>
      </c>
      <c r="L55" s="128">
        <v>25</v>
      </c>
      <c r="M55" s="237"/>
      <c r="N55" s="295"/>
      <c r="O55" s="88"/>
    </row>
    <row r="56" spans="1:15">
      <c r="A56" s="55">
        <v>1974</v>
      </c>
      <c r="B56" s="20">
        <v>6702487</v>
      </c>
      <c r="C56" s="22"/>
      <c r="D56" s="56">
        <f t="shared" si="0"/>
        <v>6702487</v>
      </c>
      <c r="E56" s="56">
        <f>D56/'Pop &amp; CPI'!C47</f>
        <v>15095691.441441441</v>
      </c>
      <c r="F56" s="129">
        <f>E56/'Pop &amp; CPI'!B47</f>
        <v>12.913889765551513</v>
      </c>
      <c r="G56" s="62">
        <v>0.08</v>
      </c>
      <c r="H56" s="16">
        <f t="shared" si="2"/>
        <v>83781087.5</v>
      </c>
      <c r="I56" s="243">
        <v>238302</v>
      </c>
      <c r="J56" s="22">
        <f>I56/'Pop &amp; CPI'!C47</f>
        <v>536716.21621621621</v>
      </c>
      <c r="K56" s="105">
        <f>J56/'Pop &amp; CPI'!B47</f>
        <v>0.4591438609146809</v>
      </c>
      <c r="L56" s="128">
        <v>25</v>
      </c>
      <c r="M56" s="237"/>
      <c r="N56" s="295"/>
      <c r="O56" s="88"/>
    </row>
    <row r="57" spans="1:15">
      <c r="A57" s="58">
        <v>1975</v>
      </c>
      <c r="B57" s="21">
        <v>6862185</v>
      </c>
      <c r="C57" s="126"/>
      <c r="D57" s="59">
        <f t="shared" si="0"/>
        <v>6862185</v>
      </c>
      <c r="E57" s="59">
        <f>D57/'Pop &amp; CPI'!C48</f>
        <v>13919239.35091278</v>
      </c>
      <c r="F57" s="136">
        <f>E57/'Pop &amp; CPI'!B48</f>
        <v>11.628922971646919</v>
      </c>
      <c r="G57" s="63">
        <v>0.08</v>
      </c>
      <c r="H57" s="18">
        <f t="shared" si="2"/>
        <v>85777312.5</v>
      </c>
      <c r="I57" s="244">
        <v>267705</v>
      </c>
      <c r="J57" s="126">
        <f>I57/'Pop &amp; CPI'!C48</f>
        <v>543012.17038539553</v>
      </c>
      <c r="K57" s="100">
        <f>J57/'Pop &amp; CPI'!B48</f>
        <v>0.45366320262784204</v>
      </c>
      <c r="L57" s="127">
        <v>25</v>
      </c>
      <c r="M57" s="238"/>
      <c r="N57" s="296"/>
      <c r="O57" s="90"/>
    </row>
    <row r="58" spans="1:15">
      <c r="A58" s="68">
        <v>1976</v>
      </c>
      <c r="B58" s="137">
        <v>7268563</v>
      </c>
      <c r="C58" s="133"/>
      <c r="D58" s="53">
        <f t="shared" si="0"/>
        <v>7268563</v>
      </c>
      <c r="E58" s="53">
        <f>D58/'Pop &amp; CPI'!C49</f>
        <v>13510340.148698887</v>
      </c>
      <c r="F58" s="135">
        <f>E58/'Pop &amp; CPI'!B49</f>
        <v>10.949299091254467</v>
      </c>
      <c r="G58" s="134">
        <v>0.08</v>
      </c>
      <c r="H58" s="232">
        <f t="shared" si="2"/>
        <v>90857037.5</v>
      </c>
      <c r="I58" s="241">
        <v>264266</v>
      </c>
      <c r="J58" s="133">
        <f>I58/'Pop &amp; CPI'!C49</f>
        <v>491200.74349442386</v>
      </c>
      <c r="K58" s="132">
        <f>J58/'Pop &amp; CPI'!B49</f>
        <v>0.39808796782107453</v>
      </c>
      <c r="L58" s="131">
        <v>25</v>
      </c>
      <c r="M58" s="236"/>
      <c r="N58" s="294"/>
      <c r="O58" s="142"/>
    </row>
    <row r="59" spans="1:15">
      <c r="A59" s="55">
        <v>1977</v>
      </c>
      <c r="B59" s="20">
        <v>7482565</v>
      </c>
      <c r="C59" s="22"/>
      <c r="D59" s="56">
        <f t="shared" si="0"/>
        <v>7482565</v>
      </c>
      <c r="E59" s="56">
        <f>D59/'Pop &amp; CPI'!C50</f>
        <v>13150377.855887523</v>
      </c>
      <c r="F59" s="129">
        <f>E59/'Pop &amp; CPI'!B50</f>
        <v>10.3379410053752</v>
      </c>
      <c r="G59" s="62">
        <v>0.08</v>
      </c>
      <c r="H59" s="16">
        <f t="shared" si="2"/>
        <v>93532062.5</v>
      </c>
      <c r="I59" s="242">
        <v>302307</v>
      </c>
      <c r="J59" s="22">
        <f>I59/'Pop &amp; CPI'!C50</f>
        <v>531295.25483304053</v>
      </c>
      <c r="K59" s="105">
        <f>J59/'Pop &amp; CPI'!B50</f>
        <v>0.41766853097994616</v>
      </c>
      <c r="L59" s="128">
        <v>25</v>
      </c>
      <c r="M59" s="237"/>
      <c r="N59" s="295"/>
      <c r="O59" s="88"/>
    </row>
    <row r="60" spans="1:15">
      <c r="A60" s="55">
        <v>1978</v>
      </c>
      <c r="B60" s="20">
        <v>7775024</v>
      </c>
      <c r="C60" s="22"/>
      <c r="D60" s="56">
        <f t="shared" si="0"/>
        <v>7775024</v>
      </c>
      <c r="E60" s="56">
        <f>D60/'Pop &amp; CPI'!C51</f>
        <v>12830072.607260726</v>
      </c>
      <c r="F60" s="129">
        <f>E60/'Pop &amp; CPI'!B51</f>
        <v>9.7496657223000316</v>
      </c>
      <c r="G60" s="62">
        <v>0.08</v>
      </c>
      <c r="H60" s="16">
        <f t="shared" si="2"/>
        <v>97187800</v>
      </c>
      <c r="I60" s="242">
        <v>314188</v>
      </c>
      <c r="J60" s="22">
        <f>I60/'Pop &amp; CPI'!C51</f>
        <v>518462.04620462045</v>
      </c>
      <c r="K60" s="105">
        <f>J60/'Pop &amp; CPI'!B51</f>
        <v>0.39398308917863173</v>
      </c>
      <c r="L60" s="128">
        <v>25</v>
      </c>
      <c r="M60" s="237"/>
      <c r="N60" s="295"/>
      <c r="O60" s="88"/>
    </row>
    <row r="61" spans="1:15">
      <c r="A61" s="55">
        <v>1979</v>
      </c>
      <c r="B61" s="20">
        <v>7908215</v>
      </c>
      <c r="C61" s="22"/>
      <c r="D61" s="56">
        <f t="shared" si="0"/>
        <v>7908215</v>
      </c>
      <c r="E61" s="56">
        <f>D61/'Pop &amp; CPI'!C52</f>
        <v>12129164.110429447</v>
      </c>
      <c r="F61" s="129">
        <f>E61/'Pop &amp; CPI'!B52</f>
        <v>8.8939791827163681</v>
      </c>
      <c r="G61" s="62">
        <v>0.08</v>
      </c>
      <c r="H61" s="16">
        <f t="shared" si="2"/>
        <v>98852687.5</v>
      </c>
      <c r="I61" s="243">
        <v>334527</v>
      </c>
      <c r="J61" s="22">
        <f>I61/'Pop &amp; CPI'!C52</f>
        <v>513078.22085889569</v>
      </c>
      <c r="K61" s="105">
        <f>J61/'Pop &amp; CPI'!B52</f>
        <v>0.37622600979570719</v>
      </c>
      <c r="L61" s="128">
        <v>25</v>
      </c>
      <c r="M61" s="237"/>
      <c r="N61" s="295"/>
      <c r="O61" s="88"/>
    </row>
    <row r="62" spans="1:15">
      <c r="A62" s="58">
        <v>1980</v>
      </c>
      <c r="B62" s="21">
        <v>9853608</v>
      </c>
      <c r="C62" s="126"/>
      <c r="D62" s="59">
        <f t="shared" si="0"/>
        <v>9853608</v>
      </c>
      <c r="E62" s="59">
        <f>D62/'Pop &amp; CPI'!C53</f>
        <v>13572462.809917355</v>
      </c>
      <c r="F62" s="136">
        <f>E62/'Pop &amp; CPI'!B53</f>
        <v>9.5854110737789853</v>
      </c>
      <c r="G62" s="63">
        <v>0.1</v>
      </c>
      <c r="H62" s="18">
        <f t="shared" si="2"/>
        <v>98536080</v>
      </c>
      <c r="I62" s="244">
        <v>417634</v>
      </c>
      <c r="J62" s="126">
        <f>I62/'Pop &amp; CPI'!C53</f>
        <v>575253.4435261708</v>
      </c>
      <c r="K62" s="100">
        <f>J62/'Pop &amp; CPI'!B53</f>
        <v>0.40626677744706435</v>
      </c>
      <c r="L62" s="127">
        <v>25</v>
      </c>
      <c r="M62" s="238"/>
      <c r="N62" s="296"/>
      <c r="O62" s="90">
        <v>7</v>
      </c>
    </row>
    <row r="63" spans="1:15">
      <c r="A63" s="68">
        <v>1981</v>
      </c>
      <c r="B63" s="137">
        <v>10794895</v>
      </c>
      <c r="C63" s="133"/>
      <c r="D63" s="53">
        <f t="shared" si="0"/>
        <v>10794895</v>
      </c>
      <c r="E63" s="53">
        <f>D63/'Pop &amp; CPI'!C54</f>
        <v>13100600.728155339</v>
      </c>
      <c r="F63" s="135">
        <f>E63/'Pop &amp; CPI'!B54</f>
        <v>8.8877888250714641</v>
      </c>
      <c r="G63" s="134">
        <v>0.1</v>
      </c>
      <c r="H63" s="232">
        <f t="shared" si="2"/>
        <v>107948950</v>
      </c>
      <c r="I63" s="241">
        <v>498475</v>
      </c>
      <c r="J63" s="133">
        <f>I63/'Pop &amp; CPI'!C54</f>
        <v>604945.38834951457</v>
      </c>
      <c r="K63" s="132">
        <f>J63/'Pop &amp; CPI'!B54</f>
        <v>0.41041071122762185</v>
      </c>
      <c r="L63" s="131">
        <v>25</v>
      </c>
      <c r="M63" s="236"/>
      <c r="N63" s="294"/>
      <c r="O63" s="142"/>
    </row>
    <row r="64" spans="1:15">
      <c r="A64" s="55">
        <v>1982</v>
      </c>
      <c r="B64" s="20">
        <v>10612198</v>
      </c>
      <c r="C64" s="22"/>
      <c r="D64" s="56">
        <f t="shared" si="0"/>
        <v>10612198</v>
      </c>
      <c r="E64" s="56">
        <f>D64/'Pop &amp; CPI'!C55</f>
        <v>11674585.258525852</v>
      </c>
      <c r="F64" s="129">
        <f>E64/'Pop &amp; CPI'!B55</f>
        <v>7.7059968703140935</v>
      </c>
      <c r="G64" s="62">
        <v>0.1</v>
      </c>
      <c r="H64" s="16">
        <f t="shared" si="2"/>
        <v>106121980</v>
      </c>
      <c r="I64" s="242">
        <v>552768</v>
      </c>
      <c r="J64" s="22">
        <f>I64/'Pop &amp; CPI'!C55</f>
        <v>608105.61056105606</v>
      </c>
      <c r="K64" s="105">
        <f>J64/'Pop &amp; CPI'!B55</f>
        <v>0.40138984195449245</v>
      </c>
      <c r="L64" s="128">
        <v>25</v>
      </c>
      <c r="M64" s="237"/>
      <c r="N64" s="295"/>
      <c r="O64" s="88"/>
    </row>
    <row r="65" spans="1:15">
      <c r="A65" s="55">
        <v>1983</v>
      </c>
      <c r="B65" s="20">
        <v>12689134</v>
      </c>
      <c r="C65" s="22"/>
      <c r="D65" s="56">
        <f t="shared" si="0"/>
        <v>12689134</v>
      </c>
      <c r="E65" s="56">
        <f>D65/'Pop &amp; CPI'!C56</f>
        <v>13149361.658031089</v>
      </c>
      <c r="F65" s="129">
        <f>E65/'Pop &amp; CPI'!B56</f>
        <v>8.4398983684410069</v>
      </c>
      <c r="G65" s="62">
        <v>0.12</v>
      </c>
      <c r="H65" s="16">
        <f t="shared" si="2"/>
        <v>105742783.33333334</v>
      </c>
      <c r="I65" s="242">
        <v>602210</v>
      </c>
      <c r="J65" s="22">
        <f>I65/'Pop &amp; CPI'!C56</f>
        <v>624051.81347150262</v>
      </c>
      <c r="K65" s="105">
        <f>J65/'Pop &amp; CPI'!B56</f>
        <v>0.40054673521919293</v>
      </c>
      <c r="L65" s="128">
        <v>25</v>
      </c>
      <c r="M65" s="237"/>
      <c r="N65" s="295"/>
      <c r="O65" s="88">
        <v>8</v>
      </c>
    </row>
    <row r="66" spans="1:15">
      <c r="A66" s="55">
        <v>1984</v>
      </c>
      <c r="B66" s="20">
        <v>12195759</v>
      </c>
      <c r="C66" s="22"/>
      <c r="D66" s="56">
        <f t="shared" si="0"/>
        <v>12195759</v>
      </c>
      <c r="E66" s="56">
        <f>D66/'Pop &amp; CPI'!C57</f>
        <v>12244737.951807229</v>
      </c>
      <c r="F66" s="129">
        <f>E66/'Pop &amp; CPI'!B57</f>
        <v>7.6769516939230273</v>
      </c>
      <c r="G66" s="62">
        <v>0.12</v>
      </c>
      <c r="H66" s="16">
        <f t="shared" si="2"/>
        <v>101631325</v>
      </c>
      <c r="I66" s="243">
        <v>668036</v>
      </c>
      <c r="J66" s="22">
        <f>I66/'Pop &amp; CPI'!C57</f>
        <v>670718.87550200801</v>
      </c>
      <c r="K66" s="105">
        <f>J66/'Pop &amp; CPI'!B57</f>
        <v>0.42051340156865707</v>
      </c>
      <c r="L66" s="128">
        <v>25</v>
      </c>
      <c r="M66" s="237"/>
      <c r="N66" s="295"/>
      <c r="O66" s="88"/>
    </row>
    <row r="67" spans="1:15">
      <c r="A67" s="58">
        <v>1985</v>
      </c>
      <c r="B67" s="21">
        <v>12486660</v>
      </c>
      <c r="C67" s="126"/>
      <c r="D67" s="59">
        <f t="shared" si="0"/>
        <v>12486660</v>
      </c>
      <c r="E67" s="59">
        <f>D67/'Pop &amp; CPI'!C58</f>
        <v>12017959.576515879</v>
      </c>
      <c r="F67" s="136">
        <f>E67/'Pop &amp; CPI'!B58</f>
        <v>7.4093462247323547</v>
      </c>
      <c r="G67" s="63">
        <v>0.12</v>
      </c>
      <c r="H67" s="18">
        <f t="shared" si="2"/>
        <v>104055500</v>
      </c>
      <c r="I67" s="244">
        <v>697269</v>
      </c>
      <c r="J67" s="126">
        <f>I67/'Pop &amp; CPI'!C58</f>
        <v>671096.24639076029</v>
      </c>
      <c r="K67" s="100">
        <f>J67/'Pop &amp; CPI'!B58</f>
        <v>0.4137461445072505</v>
      </c>
      <c r="L67" s="127">
        <v>25</v>
      </c>
      <c r="M67" s="238"/>
      <c r="N67" s="296"/>
      <c r="O67" s="90"/>
    </row>
    <row r="68" spans="1:15">
      <c r="A68" s="68">
        <v>1986</v>
      </c>
      <c r="B68" s="137">
        <v>12249017</v>
      </c>
      <c r="C68" s="133"/>
      <c r="D68" s="53">
        <f t="shared" si="0"/>
        <v>12249017</v>
      </c>
      <c r="E68" s="53">
        <f>D68/'Pop &amp; CPI'!C59</f>
        <v>11383844.795539035</v>
      </c>
      <c r="F68" s="135">
        <f>E68/'Pop &amp; CPI'!B59</f>
        <v>6.9286943369075074</v>
      </c>
      <c r="G68" s="134">
        <v>0.12</v>
      </c>
      <c r="H68" s="232">
        <f t="shared" si="2"/>
        <v>102075141.66666667</v>
      </c>
      <c r="I68" s="241">
        <v>885456</v>
      </c>
      <c r="J68" s="133">
        <f>I68/'Pop &amp; CPI'!C59</f>
        <v>822914.49814126408</v>
      </c>
      <c r="K68" s="132">
        <f>J68/'Pop &amp; CPI'!B59</f>
        <v>0.50086092400563853</v>
      </c>
      <c r="L68" s="131">
        <v>25</v>
      </c>
      <c r="M68" s="236"/>
      <c r="N68" s="294"/>
      <c r="O68" s="142"/>
    </row>
    <row r="69" spans="1:15">
      <c r="A69" s="55">
        <v>1987</v>
      </c>
      <c r="B69" s="20">
        <v>14821945</v>
      </c>
      <c r="C69" s="22"/>
      <c r="D69" s="56">
        <f t="shared" ref="D69:D80" si="3">C69+B69</f>
        <v>14821945</v>
      </c>
      <c r="E69" s="56">
        <f>D69/'Pop &amp; CPI'!C60</f>
        <v>13523672.445255477</v>
      </c>
      <c r="F69" s="129">
        <f>E69/'Pop &amp; CPI'!B60</f>
        <v>8.1320940741163419</v>
      </c>
      <c r="G69" s="62">
        <v>0.139288</v>
      </c>
      <c r="H69" s="16">
        <f t="shared" ref="H69:H78" si="4">(D69/G69)</f>
        <v>106412217.85078399</v>
      </c>
      <c r="I69" s="242">
        <v>1135228</v>
      </c>
      <c r="J69" s="22">
        <f>I69/'Pop &amp; CPI'!C60</f>
        <v>1035791.9708029198</v>
      </c>
      <c r="K69" s="105">
        <f>J69/'Pop &amp; CPI'!B60</f>
        <v>0.62284544245515328</v>
      </c>
      <c r="L69" s="128">
        <v>35</v>
      </c>
      <c r="M69" s="237"/>
      <c r="N69" s="295"/>
      <c r="O69" s="88" t="s">
        <v>25</v>
      </c>
    </row>
    <row r="70" spans="1:15">
      <c r="A70" s="55">
        <v>1988</v>
      </c>
      <c r="B70" s="20">
        <v>20349552</v>
      </c>
      <c r="C70" s="22"/>
      <c r="D70" s="56">
        <f t="shared" si="3"/>
        <v>20349552</v>
      </c>
      <c r="E70" s="56">
        <f>D70/'Pop &amp; CPI'!C61</f>
        <v>17913338.028169017</v>
      </c>
      <c r="F70" s="129">
        <f>E70/'Pop &amp; CPI'!B61</f>
        <v>10.675410028706208</v>
      </c>
      <c r="G70" s="62">
        <v>0.23</v>
      </c>
      <c r="H70" s="16">
        <f t="shared" si="4"/>
        <v>88476313.043478251</v>
      </c>
      <c r="I70" s="242">
        <v>1281198</v>
      </c>
      <c r="J70" s="22">
        <f>I70/'Pop &amp; CPI'!C61</f>
        <v>1127815.1408450706</v>
      </c>
      <c r="K70" s="105">
        <f>J70/'Pop &amp; CPI'!B61</f>
        <v>0.67211867750004206</v>
      </c>
      <c r="L70" s="128">
        <v>35</v>
      </c>
      <c r="M70" s="237"/>
      <c r="N70" s="295"/>
      <c r="O70" s="88"/>
    </row>
    <row r="71" spans="1:15">
      <c r="A71" s="55">
        <v>1989</v>
      </c>
      <c r="B71" s="20">
        <v>21619249</v>
      </c>
      <c r="C71" s="22"/>
      <c r="D71" s="56">
        <f t="shared" si="3"/>
        <v>21619249</v>
      </c>
      <c r="E71" s="56">
        <f>D71/'Pop &amp; CPI'!C62</f>
        <v>18274935.756551139</v>
      </c>
      <c r="F71" s="129">
        <f>E71/'Pop &amp; CPI'!B62</f>
        <v>10.813571453580556</v>
      </c>
      <c r="G71" s="62">
        <v>0.23</v>
      </c>
      <c r="H71" s="16">
        <f t="shared" si="4"/>
        <v>93996734.782608688</v>
      </c>
      <c r="I71" s="243">
        <v>1472450</v>
      </c>
      <c r="J71" s="22">
        <f>I71/'Pop &amp; CPI'!C62</f>
        <v>1244674.5562130178</v>
      </c>
      <c r="K71" s="105">
        <f>J71/'Pop &amp; CPI'!B62</f>
        <v>0.73649382024438925</v>
      </c>
      <c r="L71" s="128">
        <v>35</v>
      </c>
      <c r="M71" s="237"/>
      <c r="N71" s="295"/>
      <c r="O71" s="88"/>
    </row>
    <row r="72" spans="1:15">
      <c r="A72" s="58">
        <v>1990</v>
      </c>
      <c r="B72" s="21">
        <v>20547525</v>
      </c>
      <c r="C72" s="126"/>
      <c r="D72" s="59">
        <f t="shared" si="3"/>
        <v>20547525</v>
      </c>
      <c r="E72" s="59">
        <f>D72/'Pop &amp; CPI'!C63</f>
        <v>16570584.677419355</v>
      </c>
      <c r="F72" s="136">
        <f>E72/'Pop &amp; CPI'!B63</f>
        <v>9.713121147373597</v>
      </c>
      <c r="G72" s="63">
        <v>0.23</v>
      </c>
      <c r="H72" s="18">
        <f t="shared" si="4"/>
        <v>89337065.217391297</v>
      </c>
      <c r="I72" s="244">
        <v>1708732</v>
      </c>
      <c r="J72" s="126">
        <f>I72/'Pop &amp; CPI'!C63</f>
        <v>1378009.6774193549</v>
      </c>
      <c r="K72" s="100">
        <f>J72/'Pop &amp; CPI'!B63</f>
        <v>0.80774306999962187</v>
      </c>
      <c r="L72" s="127">
        <v>35</v>
      </c>
      <c r="M72" s="238"/>
      <c r="N72" s="296"/>
      <c r="O72" s="90"/>
    </row>
    <row r="73" spans="1:15">
      <c r="A73" s="68">
        <v>1991</v>
      </c>
      <c r="B73" s="137">
        <v>21400323</v>
      </c>
      <c r="C73" s="133"/>
      <c r="D73" s="53">
        <f t="shared" si="3"/>
        <v>21400323</v>
      </c>
      <c r="E73" s="53">
        <f>D73/'Pop &amp; CPI'!C64</f>
        <v>16373621.270084163</v>
      </c>
      <c r="F73" s="135">
        <f>E73/'Pop &amp; CPI'!B64</f>
        <v>9.4687518007087341</v>
      </c>
      <c r="G73" s="134">
        <v>0.23</v>
      </c>
      <c r="H73" s="232">
        <f t="shared" si="4"/>
        <v>93044882.608695641</v>
      </c>
      <c r="I73" s="241">
        <v>1898597</v>
      </c>
      <c r="J73" s="133">
        <f>I73/'Pop &amp; CPI'!C64</f>
        <v>1452637.337413925</v>
      </c>
      <c r="K73" s="132">
        <f>J73/'Pop &amp; CPI'!B64</f>
        <v>0.8400501133824102</v>
      </c>
      <c r="L73" s="131">
        <v>35</v>
      </c>
      <c r="M73" s="236"/>
      <c r="N73" s="294"/>
      <c r="O73" s="142"/>
    </row>
    <row r="74" spans="1:15">
      <c r="A74" s="55">
        <v>1992</v>
      </c>
      <c r="B74" s="20">
        <v>24280511</v>
      </c>
      <c r="C74" s="22"/>
      <c r="D74" s="56">
        <f t="shared" si="3"/>
        <v>24280511</v>
      </c>
      <c r="E74" s="56">
        <f>D74/'Pop &amp; CPI'!C65</f>
        <v>17827100.587371513</v>
      </c>
      <c r="F74" s="129">
        <f>E74/'Pop &amp; CPI'!B65</f>
        <v>10.010332358550322</v>
      </c>
      <c r="G74" s="62">
        <v>0.26500000000000001</v>
      </c>
      <c r="H74" s="16">
        <f t="shared" si="4"/>
        <v>91624569.811320752</v>
      </c>
      <c r="I74" s="242">
        <v>1819802</v>
      </c>
      <c r="J74" s="22">
        <f>I74/'Pop &amp; CPI'!C65</f>
        <v>1336124.8164464026</v>
      </c>
      <c r="K74" s="105">
        <f>J74/'Pop &amp; CPI'!B65</f>
        <v>0.7502652166898216</v>
      </c>
      <c r="L74" s="128">
        <v>35</v>
      </c>
      <c r="M74" s="237"/>
      <c r="N74" s="295"/>
      <c r="O74" s="88">
        <v>11</v>
      </c>
    </row>
    <row r="75" spans="1:15">
      <c r="A75" s="55">
        <v>1993</v>
      </c>
      <c r="B75" s="20">
        <v>23458288</v>
      </c>
      <c r="C75" s="22"/>
      <c r="D75" s="56">
        <f t="shared" si="3"/>
        <v>23458288</v>
      </c>
      <c r="E75" s="56">
        <f>D75/'Pop &amp; CPI'!C66</f>
        <v>16720091.233071988</v>
      </c>
      <c r="F75" s="129">
        <f>E75/'Pop &amp; CPI'!B66</f>
        <v>9.0961566407685055</v>
      </c>
      <c r="G75" s="62">
        <v>0.26500000000000001</v>
      </c>
      <c r="H75" s="16">
        <f t="shared" si="4"/>
        <v>88521841.509433955</v>
      </c>
      <c r="I75" s="242">
        <v>2308298</v>
      </c>
      <c r="J75" s="22">
        <f>I75/'Pop &amp; CPI'!C66</f>
        <v>1645258.7312900927</v>
      </c>
      <c r="K75" s="105">
        <f>J75/'Pop &amp; CPI'!B66</f>
        <v>0.89506276764837489</v>
      </c>
      <c r="L75" s="128">
        <v>35</v>
      </c>
      <c r="M75" s="237"/>
      <c r="N75" s="295"/>
      <c r="O75" s="88"/>
    </row>
    <row r="76" spans="1:15">
      <c r="A76" s="55">
        <v>1994</v>
      </c>
      <c r="B76" s="20">
        <v>25133853</v>
      </c>
      <c r="C76" s="22"/>
      <c r="D76" s="56">
        <f t="shared" si="3"/>
        <v>25133853</v>
      </c>
      <c r="E76" s="56">
        <f>D76/'Pop &amp; CPI'!C67</f>
        <v>17393669.896193773</v>
      </c>
      <c r="F76" s="129">
        <f>E76/'Pop &amp; CPI'!B67</f>
        <v>9.2059565671058223</v>
      </c>
      <c r="G76" s="62">
        <v>0.26500000000000001</v>
      </c>
      <c r="H76" s="16">
        <f t="shared" si="4"/>
        <v>94844728.301886782</v>
      </c>
      <c r="I76" s="243">
        <v>2517841</v>
      </c>
      <c r="J76" s="22">
        <f>I76/'Pop &amp; CPI'!C67</f>
        <v>1742450.5190311419</v>
      </c>
      <c r="K76" s="105">
        <f>J76/'Pop &amp; CPI'!B67</f>
        <v>0.922227677900332</v>
      </c>
      <c r="L76" s="128">
        <v>35</v>
      </c>
      <c r="M76" s="237"/>
      <c r="N76" s="295"/>
      <c r="O76" s="88"/>
    </row>
    <row r="77" spans="1:15">
      <c r="A77" s="58">
        <v>1995</v>
      </c>
      <c r="B77" s="21">
        <v>25330565</v>
      </c>
      <c r="C77" s="126"/>
      <c r="D77" s="59">
        <f t="shared" si="3"/>
        <v>25330565</v>
      </c>
      <c r="E77" s="59">
        <f>D77/'Pop &amp; CPI'!C68</f>
        <v>17092149.122807018</v>
      </c>
      <c r="F77" s="136">
        <f>E77/'Pop &amp; CPI'!B68</f>
        <v>8.7799685331421493</v>
      </c>
      <c r="G77" s="63">
        <v>0.26500000000000001</v>
      </c>
      <c r="H77" s="18">
        <f t="shared" si="4"/>
        <v>95587037.735849053</v>
      </c>
      <c r="I77" s="244">
        <v>3160297</v>
      </c>
      <c r="J77" s="126">
        <f>I77/'Pop &amp; CPI'!C68</f>
        <v>2132454.1160593792</v>
      </c>
      <c r="K77" s="100">
        <f>J77/'Pop &amp; CPI'!B68</f>
        <v>1.0954081843568644</v>
      </c>
      <c r="L77" s="127">
        <v>35</v>
      </c>
      <c r="M77" s="238"/>
      <c r="N77" s="296"/>
      <c r="O77" s="90"/>
    </row>
    <row r="78" spans="1:15">
      <c r="A78" s="68">
        <v>1996</v>
      </c>
      <c r="B78" s="137">
        <v>25278089</v>
      </c>
      <c r="C78" s="133"/>
      <c r="D78" s="53">
        <f t="shared" si="3"/>
        <v>25278089</v>
      </c>
      <c r="E78" s="53">
        <f>D78/'Pop &amp; CPI'!C69</f>
        <v>16586672.572178477</v>
      </c>
      <c r="F78" s="135">
        <f>E78/'Pop &amp; CPI'!B69</f>
        <v>8.3131715133200199</v>
      </c>
      <c r="G78" s="134">
        <v>0.26500000000000001</v>
      </c>
      <c r="H78" s="232">
        <f t="shared" si="4"/>
        <v>95389015.094339624</v>
      </c>
      <c r="I78" s="241">
        <v>3415608</v>
      </c>
      <c r="J78" s="133">
        <f>I78/'Pop &amp; CPI'!C69</f>
        <v>2241212.5984251969</v>
      </c>
      <c r="K78" s="132">
        <f>J78/'Pop &amp; CPI'!B69</f>
        <v>1.1232864607078474</v>
      </c>
      <c r="L78" s="131">
        <v>35</v>
      </c>
      <c r="M78" s="236"/>
      <c r="N78" s="294"/>
      <c r="O78" s="142"/>
    </row>
    <row r="79" spans="1:15">
      <c r="A79" s="55">
        <v>1997</v>
      </c>
      <c r="B79" s="20">
        <v>28026713</v>
      </c>
      <c r="C79" s="22"/>
      <c r="D79" s="56">
        <f t="shared" si="3"/>
        <v>28026713</v>
      </c>
      <c r="E79" s="56">
        <f>D79/'Pop &amp; CPI'!C70</f>
        <v>17862787.12555768</v>
      </c>
      <c r="F79" s="129">
        <f>E79/'Pop &amp; CPI'!B70</f>
        <v>8.743868193565536</v>
      </c>
      <c r="G79" s="62">
        <v>0.26500000000000001</v>
      </c>
      <c r="H79" s="16">
        <f t="shared" ref="H79:H95" si="5">D79/G79</f>
        <v>105761181.13207547</v>
      </c>
      <c r="I79" s="242">
        <v>3695886</v>
      </c>
      <c r="J79" s="22">
        <f>I79/'Pop &amp; CPI'!C70</f>
        <v>2355567.8776290631</v>
      </c>
      <c r="K79" s="105">
        <f>J79/'Pop &amp; CPI'!B70</f>
        <v>1.1530549459169241</v>
      </c>
      <c r="L79" s="128">
        <v>35</v>
      </c>
      <c r="M79" s="237"/>
      <c r="N79" s="295"/>
      <c r="O79" s="88"/>
    </row>
    <row r="80" spans="1:15">
      <c r="A80" s="55">
        <v>1998</v>
      </c>
      <c r="B80" s="20">
        <v>39641568</v>
      </c>
      <c r="C80" s="22"/>
      <c r="D80" s="56">
        <f t="shared" si="3"/>
        <v>39641568</v>
      </c>
      <c r="E80" s="56">
        <f>D80/'Pop &amp; CPI'!C71</f>
        <v>24698796.261682242</v>
      </c>
      <c r="F80" s="129">
        <f>E80/'Pop &amp; CPI'!B71</f>
        <v>11.764642459702822</v>
      </c>
      <c r="G80" s="62">
        <v>0.51500000000000001</v>
      </c>
      <c r="H80" s="16">
        <f t="shared" si="5"/>
        <v>76973918.446601942</v>
      </c>
      <c r="I80" s="242">
        <v>4129735</v>
      </c>
      <c r="J80" s="22">
        <f>I80/'Pop &amp; CPI'!C71</f>
        <v>2573043.6137071652</v>
      </c>
      <c r="K80" s="105">
        <f>J80/'Pop &amp; CPI'!B71</f>
        <v>1.2256037835920324</v>
      </c>
      <c r="L80" s="128">
        <v>35</v>
      </c>
      <c r="M80" s="237"/>
      <c r="N80" s="295"/>
      <c r="O80" s="88">
        <v>12</v>
      </c>
    </row>
    <row r="81" spans="1:15">
      <c r="A81" s="55">
        <v>1999</v>
      </c>
      <c r="B81" s="20">
        <v>46201563</v>
      </c>
      <c r="C81" s="22">
        <v>250000</v>
      </c>
      <c r="D81" s="56">
        <f t="shared" ref="D81:D96" si="6">C81+B81</f>
        <v>46451563</v>
      </c>
      <c r="E81" s="56">
        <f>D81/'Pop &amp; CPI'!C72</f>
        <v>28497891.411042947</v>
      </c>
      <c r="F81" s="129">
        <f>E81/'Pop &amp; CPI'!B72</f>
        <v>13.306623832219049</v>
      </c>
      <c r="G81" s="62">
        <v>0.51500000000000001</v>
      </c>
      <c r="H81" s="16">
        <f t="shared" si="5"/>
        <v>90197209.708737865</v>
      </c>
      <c r="I81" s="243">
        <v>4007879</v>
      </c>
      <c r="J81" s="22">
        <f>I81/'Pop &amp; CPI'!C72</f>
        <v>2458821.4723926382</v>
      </c>
      <c r="K81" s="105">
        <f>J81/'Pop &amp; CPI'!B72</f>
        <v>1.1481064311668103</v>
      </c>
      <c r="L81" s="128">
        <v>35</v>
      </c>
      <c r="M81" s="237">
        <v>19170</v>
      </c>
      <c r="N81" s="295"/>
      <c r="O81" s="88"/>
    </row>
    <row r="82" spans="1:15">
      <c r="A82" s="58">
        <v>2000</v>
      </c>
      <c r="B82" s="21">
        <v>43841793</v>
      </c>
      <c r="C82" s="126">
        <v>250000</v>
      </c>
      <c r="D82" s="59">
        <f t="shared" si="6"/>
        <v>44091793</v>
      </c>
      <c r="E82" s="59">
        <f>D82/'Pop &amp; CPI'!C73</f>
        <v>26465662.06482593</v>
      </c>
      <c r="F82" s="136">
        <f>E82/'Pop &amp; CPI'!B73</f>
        <v>12.068168313027609</v>
      </c>
      <c r="G82" s="63">
        <v>0.51500000000000001</v>
      </c>
      <c r="H82" s="18">
        <f t="shared" si="5"/>
        <v>85615132.038834944</v>
      </c>
      <c r="I82" s="244">
        <v>4161937</v>
      </c>
      <c r="J82" s="126">
        <f>I82/'Pop &amp; CPI'!C73</f>
        <v>2498161.4645858346</v>
      </c>
      <c r="K82" s="100">
        <f>J82/'Pop &amp; CPI'!B73</f>
        <v>1.139145242385974</v>
      </c>
      <c r="L82" s="127">
        <v>35</v>
      </c>
      <c r="M82" s="238">
        <v>13110</v>
      </c>
      <c r="N82" s="296"/>
      <c r="O82" s="90"/>
    </row>
    <row r="83" spans="1:15">
      <c r="A83" s="68">
        <v>2001</v>
      </c>
      <c r="B83" s="137">
        <v>42859511</v>
      </c>
      <c r="C83" s="133">
        <v>250000</v>
      </c>
      <c r="D83" s="53">
        <f t="shared" si="6"/>
        <v>43109511</v>
      </c>
      <c r="E83" s="53">
        <f>D83/'Pop &amp; CPI'!C74</f>
        <v>25034559.233449478</v>
      </c>
      <c r="F83" s="135">
        <f>E83/'Pop &amp; CPI'!B74</f>
        <v>11.143964317964679</v>
      </c>
      <c r="G83" s="134">
        <v>0.51500000000000001</v>
      </c>
      <c r="H83" s="232">
        <f t="shared" si="5"/>
        <v>83707788.349514559</v>
      </c>
      <c r="I83" s="241">
        <v>4729248</v>
      </c>
      <c r="J83" s="133">
        <f>I83/'Pop &amp; CPI'!C74</f>
        <v>2746369.3379790941</v>
      </c>
      <c r="K83" s="132">
        <f>J83/'Pop &amp; CPI'!B74</f>
        <v>1.2225276914601473</v>
      </c>
      <c r="L83" s="131">
        <v>35</v>
      </c>
      <c r="M83" s="236">
        <v>24000</v>
      </c>
      <c r="N83" s="294"/>
      <c r="O83" s="142"/>
    </row>
    <row r="84" spans="1:15">
      <c r="A84" s="55">
        <v>2002</v>
      </c>
      <c r="B84" s="20">
        <v>44430883</v>
      </c>
      <c r="C84" s="22">
        <v>1508502</v>
      </c>
      <c r="D84" s="56">
        <f t="shared" si="6"/>
        <v>45939385</v>
      </c>
      <c r="E84" s="56">
        <f>D84/'Pop &amp; CPI'!C75</f>
        <v>25939799.54827781</v>
      </c>
      <c r="F84" s="129">
        <f>E84/'Pop &amp; CPI'!B75</f>
        <v>11.324288187583791</v>
      </c>
      <c r="G84" s="62">
        <v>0.54212000000000005</v>
      </c>
      <c r="H84" s="16">
        <f t="shared" si="5"/>
        <v>84740251.23588872</v>
      </c>
      <c r="I84" s="242">
        <v>5055002</v>
      </c>
      <c r="J84" s="22">
        <f>I84/'Pop &amp; CPI'!C75</f>
        <v>2854320.7227555057</v>
      </c>
      <c r="K84" s="105">
        <f>J84/'Pop &amp; CPI'!B75</f>
        <v>1.2460832777106712</v>
      </c>
      <c r="L84" s="128">
        <v>35</v>
      </c>
      <c r="M84" s="237">
        <v>17060</v>
      </c>
      <c r="N84" s="295"/>
      <c r="O84" s="88">
        <v>13</v>
      </c>
    </row>
    <row r="85" spans="1:15">
      <c r="A85" s="55">
        <v>2003</v>
      </c>
      <c r="B85" s="20">
        <v>38539028</v>
      </c>
      <c r="C85" s="22">
        <v>7975372</v>
      </c>
      <c r="D85" s="56">
        <f t="shared" si="6"/>
        <v>46514400</v>
      </c>
      <c r="E85" s="56">
        <f>D85/'Pop &amp; CPI'!C76</f>
        <v>25855697.60978321</v>
      </c>
      <c r="F85" s="129">
        <f>E85/'Pop &amp; CPI'!B76</f>
        <v>11.088176223175832</v>
      </c>
      <c r="G85" s="62">
        <v>0.69499999999999995</v>
      </c>
      <c r="H85" s="16">
        <f t="shared" si="5"/>
        <v>66927194.244604319</v>
      </c>
      <c r="I85" s="242">
        <v>5318467</v>
      </c>
      <c r="J85" s="22">
        <f>I85/'Pop &amp; CPI'!C76</f>
        <v>2956346.3035019455</v>
      </c>
      <c r="K85" s="105">
        <f>J85/'Pop &amp; CPI'!B76</f>
        <v>1.2678245733180544</v>
      </c>
      <c r="L85" s="128">
        <v>35</v>
      </c>
      <c r="M85" s="237">
        <v>13130</v>
      </c>
      <c r="N85" s="295"/>
      <c r="O85" s="88">
        <v>14</v>
      </c>
    </row>
    <row r="86" spans="1:15">
      <c r="A86" s="55">
        <v>2004</v>
      </c>
      <c r="B86" s="20">
        <v>47655824</v>
      </c>
      <c r="C86" s="22">
        <v>8216794</v>
      </c>
      <c r="D86" s="56">
        <f t="shared" si="6"/>
        <v>55872618</v>
      </c>
      <c r="E86" s="56">
        <f>D86/'Pop &amp; CPI'!C77</f>
        <v>30365553.260869563</v>
      </c>
      <c r="F86" s="129">
        <f>E86/'Pop &amp; CPI'!B77</f>
        <v>12.799195290651959</v>
      </c>
      <c r="G86" s="62">
        <f t="shared" ref="G86:G92" si="7">0.695</f>
        <v>0.69499999999999995</v>
      </c>
      <c r="H86" s="16">
        <f t="shared" si="5"/>
        <v>80392256.115107924</v>
      </c>
      <c r="I86" s="243">
        <v>5790075</v>
      </c>
      <c r="J86" s="22">
        <f>I86/'Pop &amp; CPI'!C77</f>
        <v>3146779.8913043477</v>
      </c>
      <c r="K86" s="105">
        <f>J86/'Pop &amp; CPI'!B77</f>
        <v>1.3263795992613348</v>
      </c>
      <c r="L86" s="128">
        <v>35</v>
      </c>
      <c r="M86" s="237">
        <v>22070</v>
      </c>
      <c r="N86" s="295"/>
      <c r="O86" s="88"/>
    </row>
    <row r="87" spans="1:15">
      <c r="A87" s="58">
        <v>2005</v>
      </c>
      <c r="B87" s="21">
        <v>46512461</v>
      </c>
      <c r="C87" s="126">
        <v>8410558</v>
      </c>
      <c r="D87" s="59">
        <f t="shared" si="6"/>
        <v>54923019</v>
      </c>
      <c r="E87" s="59">
        <f>D87/'Pop &amp; CPI'!C78</f>
        <v>29075182.106934886</v>
      </c>
      <c r="F87" s="136">
        <f>E87/'Pop &amp; CPI'!B78</f>
        <v>11.963997586614433</v>
      </c>
      <c r="G87" s="63">
        <f t="shared" si="7"/>
        <v>0.69499999999999995</v>
      </c>
      <c r="H87" s="18">
        <f t="shared" si="5"/>
        <v>79025926.618705034</v>
      </c>
      <c r="I87" s="244">
        <v>6510897</v>
      </c>
      <c r="J87" s="126">
        <f>I87/'Pop &amp; CPI'!C78</f>
        <v>3446742.7210164107</v>
      </c>
      <c r="K87" s="100">
        <f>J87/'Pop &amp; CPI'!B78</f>
        <v>1.4182824872517505</v>
      </c>
      <c r="L87" s="127">
        <v>35</v>
      </c>
      <c r="M87" s="238">
        <v>24255</v>
      </c>
      <c r="N87" s="296"/>
      <c r="O87" s="90"/>
    </row>
    <row r="88" spans="1:15">
      <c r="A88" s="68">
        <v>2006</v>
      </c>
      <c r="B88" s="137">
        <v>45348314</v>
      </c>
      <c r="C88" s="133">
        <v>8187942</v>
      </c>
      <c r="D88" s="53">
        <f t="shared" si="6"/>
        <v>53536256</v>
      </c>
      <c r="E88" s="53">
        <f>D88/'Pop &amp; CPI'!C79</f>
        <v>27412317.460317459</v>
      </c>
      <c r="F88" s="135">
        <f>E88/'Pop &amp; CPI'!B79</f>
        <v>10.939359513073029</v>
      </c>
      <c r="G88" s="134">
        <f t="shared" si="7"/>
        <v>0.69499999999999995</v>
      </c>
      <c r="H88" s="232">
        <f t="shared" si="5"/>
        <v>77030584.172661871</v>
      </c>
      <c r="I88" s="241">
        <v>6763963</v>
      </c>
      <c r="J88" s="133">
        <f>I88/'Pop &amp; CPI'!C79</f>
        <v>3463370.7117255502</v>
      </c>
      <c r="K88" s="132">
        <f>J88/'Pop &amp; CPI'!B79</f>
        <v>1.3821179985041163</v>
      </c>
      <c r="L88" s="131">
        <v>35</v>
      </c>
      <c r="M88" s="236">
        <v>19869</v>
      </c>
      <c r="N88" s="294"/>
      <c r="O88" s="142"/>
    </row>
    <row r="89" spans="1:15">
      <c r="A89" s="55">
        <v>2007</v>
      </c>
      <c r="B89" s="20">
        <v>46510880</v>
      </c>
      <c r="C89" s="22">
        <v>8647757</v>
      </c>
      <c r="D89" s="56">
        <f t="shared" si="6"/>
        <v>55158637</v>
      </c>
      <c r="E89" s="56">
        <f>D89/'Pop &amp; CPI'!C80</f>
        <v>27360435.019841269</v>
      </c>
      <c r="F89" s="129">
        <f>E89/'Pop &amp; CPI'!B80</f>
        <v>10.620342764498524</v>
      </c>
      <c r="G89" s="62">
        <f t="shared" si="7"/>
        <v>0.69499999999999995</v>
      </c>
      <c r="H89" s="16">
        <f t="shared" si="5"/>
        <v>79364945.323741019</v>
      </c>
      <c r="I89" s="242">
        <v>7314289</v>
      </c>
      <c r="J89" s="22">
        <f>I89/'Pop &amp; CPI'!C80</f>
        <v>3628119.5436507938</v>
      </c>
      <c r="K89" s="105">
        <f>J89/'Pop &amp; CPI'!B80</f>
        <v>1.4083063049328277</v>
      </c>
      <c r="L89" s="128">
        <v>35</v>
      </c>
      <c r="M89" s="237">
        <v>19565</v>
      </c>
      <c r="N89" s="295"/>
      <c r="O89" s="88"/>
    </row>
    <row r="90" spans="1:15">
      <c r="A90" s="55">
        <v>2008</v>
      </c>
      <c r="B90" s="20">
        <v>45910183</v>
      </c>
      <c r="C90" s="22">
        <v>8478705</v>
      </c>
      <c r="D90" s="56">
        <f t="shared" si="6"/>
        <v>54388888</v>
      </c>
      <c r="E90" s="56">
        <f>D90/'Pop &amp; CPI'!C81</f>
        <v>26231486.143666022</v>
      </c>
      <c r="F90" s="129">
        <f>E90/'Pop &amp; CPI'!B81</f>
        <v>9.9509635134303931</v>
      </c>
      <c r="G90" s="62">
        <f t="shared" si="7"/>
        <v>0.69499999999999995</v>
      </c>
      <c r="H90" s="16">
        <f t="shared" si="5"/>
        <v>78257392.805755407</v>
      </c>
      <c r="I90" s="242">
        <v>7857435</v>
      </c>
      <c r="J90" s="22">
        <f>I90/'Pop &amp; CPI'!C81</f>
        <v>3789601.2385334373</v>
      </c>
      <c r="K90" s="105">
        <f>J90/'Pop &amp; CPI'!B81</f>
        <v>1.4375923441227725</v>
      </c>
      <c r="L90" s="128">
        <v>35</v>
      </c>
      <c r="M90" s="237">
        <v>17832</v>
      </c>
      <c r="N90" s="295"/>
      <c r="O90" s="88"/>
    </row>
    <row r="91" spans="1:15">
      <c r="A91" s="55">
        <v>2009</v>
      </c>
      <c r="B91" s="20">
        <v>43789904</v>
      </c>
      <c r="C91" s="22">
        <v>7780573</v>
      </c>
      <c r="D91" s="56">
        <f t="shared" si="6"/>
        <v>51570477</v>
      </c>
      <c r="E91" s="56">
        <f>D91/'Pop &amp; CPI'!C82</f>
        <v>23952512.041169889</v>
      </c>
      <c r="F91" s="129">
        <f>E91/'Pop &amp; CPI'!B82</f>
        <v>8.9005671393455561</v>
      </c>
      <c r="G91" s="62">
        <f t="shared" si="7"/>
        <v>0.69499999999999995</v>
      </c>
      <c r="H91" s="16">
        <f>D91/G91</f>
        <v>74202125.179856122</v>
      </c>
      <c r="I91" s="243">
        <v>8252165</v>
      </c>
      <c r="J91" s="22">
        <f>I91/'Pop &amp; CPI'!C82</f>
        <v>3832814.6844214899</v>
      </c>
      <c r="K91" s="105">
        <f>J91/'Pop &amp; CPI'!B82</f>
        <v>1.4242441198955269</v>
      </c>
      <c r="L91" s="128">
        <v>35</v>
      </c>
      <c r="M91" s="237">
        <v>15891</v>
      </c>
      <c r="N91" s="295"/>
      <c r="O91" s="88"/>
    </row>
    <row r="92" spans="1:15">
      <c r="A92" s="58">
        <v>2010</v>
      </c>
      <c r="B92" s="21">
        <v>42190599</v>
      </c>
      <c r="C92" s="126">
        <v>7690338</v>
      </c>
      <c r="D92" s="59">
        <f t="shared" si="6"/>
        <v>49880937</v>
      </c>
      <c r="E92" s="59">
        <f>D92/'Pop &amp; CPI'!C83</f>
        <v>23250505.507208545</v>
      </c>
      <c r="F92" s="136">
        <f>E92/'Pop &amp; CPI'!B83</f>
        <v>8.5118047955046006</v>
      </c>
      <c r="G92" s="63">
        <f t="shared" si="7"/>
        <v>0.69499999999999995</v>
      </c>
      <c r="H92" s="18">
        <f t="shared" si="5"/>
        <v>71771132.37410073</v>
      </c>
      <c r="I92" s="244">
        <v>8795539</v>
      </c>
      <c r="J92" s="126">
        <f>I92/'Pop &amp; CPI'!C83</f>
        <v>4099777.1946097873</v>
      </c>
      <c r="K92" s="100">
        <f>J92/'Pop &amp; CPI'!B83</f>
        <v>1.5008922354294936</v>
      </c>
      <c r="L92" s="127">
        <v>35</v>
      </c>
      <c r="M92" s="238">
        <v>19863</v>
      </c>
      <c r="N92" s="296"/>
      <c r="O92" s="90"/>
    </row>
    <row r="93" spans="1:15">
      <c r="A93" s="68">
        <v>2011</v>
      </c>
      <c r="B93" s="137">
        <v>99141534</v>
      </c>
      <c r="C93" s="133">
        <v>6153701</v>
      </c>
      <c r="D93" s="53">
        <f t="shared" si="6"/>
        <v>105295235</v>
      </c>
      <c r="E93" s="53">
        <f>D93/'Pop &amp; CPI'!C84</f>
        <v>48288162.215210766</v>
      </c>
      <c r="F93" s="135">
        <f>E93/'Pop &amp; CPI'!B84</f>
        <v>17.415783857752952</v>
      </c>
      <c r="G93" s="134">
        <v>1.7</v>
      </c>
      <c r="H93" s="232">
        <f t="shared" si="5"/>
        <v>61938373.529411763</v>
      </c>
      <c r="I93" s="241">
        <v>19081834</v>
      </c>
      <c r="J93" s="133">
        <f>I93/'Pop &amp; CPI'!C84</f>
        <v>8750886.9281285536</v>
      </c>
      <c r="K93" s="132">
        <f>J93/'Pop &amp; CPI'!B84</f>
        <v>3.1561266428962478</v>
      </c>
      <c r="L93" s="131">
        <v>86</v>
      </c>
      <c r="M93" s="236">
        <v>17545</v>
      </c>
      <c r="N93" s="294"/>
      <c r="O93" s="142">
        <v>15</v>
      </c>
    </row>
    <row r="94" spans="1:15">
      <c r="A94" s="55">
        <v>2012</v>
      </c>
      <c r="B94" s="20">
        <v>96820243</v>
      </c>
      <c r="C94" s="22">
        <v>6807864</v>
      </c>
      <c r="D94" s="56">
        <f t="shared" si="6"/>
        <v>103628107</v>
      </c>
      <c r="E94" s="56">
        <f>D94/'Pop &amp; CPI'!C85</f>
        <v>46069426.377817988</v>
      </c>
      <c r="F94" s="129">
        <f>E94/'Pop &amp; CPI'!B85</f>
        <v>16.324571524383156</v>
      </c>
      <c r="G94" s="62">
        <v>1.7</v>
      </c>
      <c r="H94" s="16">
        <f t="shared" si="5"/>
        <v>60957710</v>
      </c>
      <c r="I94" s="242">
        <v>20153601</v>
      </c>
      <c r="J94" s="22">
        <f>I94/'Pop &amp; CPI'!C85</f>
        <v>8959585.0430561174</v>
      </c>
      <c r="K94" s="105">
        <f>J94/'Pop &amp; CPI'!B85</f>
        <v>3.1748037334926895</v>
      </c>
      <c r="L94" s="128">
        <v>86</v>
      </c>
      <c r="M94" s="237">
        <v>14010</v>
      </c>
      <c r="N94" s="295"/>
      <c r="O94" s="88"/>
    </row>
    <row r="95" spans="1:15">
      <c r="A95" s="55">
        <v>2013</v>
      </c>
      <c r="B95" s="20">
        <v>92457080</v>
      </c>
      <c r="C95" s="22">
        <v>7950000</v>
      </c>
      <c r="D95" s="56">
        <f t="shared" si="6"/>
        <v>100407080</v>
      </c>
      <c r="E95" s="56">
        <f>D95/'Pop &amp; CPI'!C86</f>
        <v>43732449.454254031</v>
      </c>
      <c r="F95" s="129">
        <f>E95/'Pop &amp; CPI'!B86</f>
        <v>15.25158064703187</v>
      </c>
      <c r="G95" s="62">
        <v>1.7</v>
      </c>
      <c r="H95" s="16">
        <f t="shared" si="5"/>
        <v>59062988.235294119</v>
      </c>
      <c r="I95" s="242">
        <v>19981965</v>
      </c>
      <c r="J95" s="22">
        <f>I95/'Pop &amp; CPI'!C86</f>
        <v>8703173.8634284865</v>
      </c>
      <c r="K95" s="105">
        <f>J95/'Pop &amp; CPI'!B86</f>
        <v>3.0352097748850797</v>
      </c>
      <c r="L95" s="128">
        <v>86</v>
      </c>
      <c r="M95" s="237">
        <v>19420</v>
      </c>
      <c r="N95" s="295"/>
      <c r="O95" s="88"/>
    </row>
    <row r="96" spans="1:15">
      <c r="A96" s="55">
        <v>2014</v>
      </c>
      <c r="B96" s="20">
        <v>84357578</v>
      </c>
      <c r="C96" s="22">
        <v>7950000</v>
      </c>
      <c r="D96" s="56">
        <f t="shared" si="6"/>
        <v>92307578</v>
      </c>
      <c r="E96" s="56">
        <f>D96/'Pop &amp; CPI'!C87</f>
        <v>39624298.904948123</v>
      </c>
      <c r="F96" s="129">
        <f>E96/'Pop &amp; CPI'!B87</f>
        <v>13.635238009896597</v>
      </c>
      <c r="G96" s="62">
        <v>1.7</v>
      </c>
      <c r="H96" s="16">
        <f t="shared" ref="H96:H99" si="8">D96/G96</f>
        <v>54298575.294117652</v>
      </c>
      <c r="I96" s="243">
        <v>20676427</v>
      </c>
      <c r="J96" s="22">
        <f>I96/'Pop &amp; CPI'!C87</f>
        <v>8875640.998124117</v>
      </c>
      <c r="K96" s="105">
        <f>J96/'Pop &amp; CPI'!B87</f>
        <v>3.0542238183223942</v>
      </c>
      <c r="L96" s="128">
        <v>86</v>
      </c>
      <c r="M96" s="237">
        <v>25880</v>
      </c>
      <c r="N96" s="295"/>
      <c r="O96" s="88"/>
    </row>
    <row r="97" spans="1:15">
      <c r="A97" s="55">
        <v>2015</v>
      </c>
      <c r="B97" s="20">
        <v>87421197</v>
      </c>
      <c r="C97" s="22">
        <v>7950000</v>
      </c>
      <c r="D97" s="56">
        <f t="shared" ref="D97:D98" si="9">C97+B97</f>
        <v>95371197</v>
      </c>
      <c r="E97" s="56">
        <f>D97/'Pop &amp; CPI'!C88</f>
        <v>40285886.810624495</v>
      </c>
      <c r="F97" s="129">
        <f>E97/'Pop &amp; CPI'!B88</f>
        <v>13.670184746732188</v>
      </c>
      <c r="G97" s="62">
        <v>1.7</v>
      </c>
      <c r="H97" s="16">
        <f t="shared" si="8"/>
        <v>56100704.117647059</v>
      </c>
      <c r="I97" s="243">
        <v>20290161</v>
      </c>
      <c r="J97" s="22">
        <f>I97/'Pop &amp; CPI'!C88</f>
        <v>8570796.5835360922</v>
      </c>
      <c r="K97" s="105">
        <f>J97/'Pop &amp; CPI'!B88</f>
        <v>2.9083230381489322</v>
      </c>
      <c r="L97" s="128">
        <v>86</v>
      </c>
      <c r="M97" s="237">
        <v>12600</v>
      </c>
      <c r="N97" s="295"/>
      <c r="O97" s="88"/>
    </row>
    <row r="98" spans="1:15">
      <c r="A98" s="68">
        <v>2016</v>
      </c>
      <c r="B98" s="137">
        <v>87930329</v>
      </c>
      <c r="C98" s="133">
        <v>7950000</v>
      </c>
      <c r="D98" s="53">
        <f t="shared" si="9"/>
        <v>95880329</v>
      </c>
      <c r="E98" s="53">
        <f>D98/'Pop &amp; CPI'!C89</f>
        <v>40452933.333895884</v>
      </c>
      <c r="F98" s="135">
        <f>E98/'Pop &amp; CPI'!B89</f>
        <v>13.467290252058726</v>
      </c>
      <c r="G98" s="134">
        <v>1.7</v>
      </c>
      <c r="H98" s="232">
        <f t="shared" si="8"/>
        <v>56400193.529411763</v>
      </c>
      <c r="I98" s="245">
        <v>21720443</v>
      </c>
      <c r="J98" s="133">
        <f>I98/'Pop &amp; CPI'!C89</f>
        <v>9164086.5423155297</v>
      </c>
      <c r="K98" s="132">
        <f>J98/'Pop &amp; CPI'!B89</f>
        <v>3.0508396595541214</v>
      </c>
      <c r="L98" s="131">
        <v>86</v>
      </c>
      <c r="M98" s="236">
        <v>16780</v>
      </c>
      <c r="N98" s="294"/>
      <c r="O98" s="142"/>
    </row>
    <row r="99" spans="1:15">
      <c r="A99" s="55">
        <v>2017</v>
      </c>
      <c r="B99" s="20">
        <v>85520535</v>
      </c>
      <c r="C99" s="22">
        <v>7950000</v>
      </c>
      <c r="D99" s="56">
        <f t="shared" ref="D99:D103" si="10">C99+B99</f>
        <v>93470535</v>
      </c>
      <c r="E99" s="56">
        <f>D99/'Pop &amp; CPI'!C90</f>
        <v>38944839.223774262</v>
      </c>
      <c r="F99" s="129">
        <f>E99/'Pop &amp; CPI'!B90</f>
        <v>12.717163890542226</v>
      </c>
      <c r="G99" s="62">
        <v>1.7</v>
      </c>
      <c r="H99" s="16">
        <f t="shared" si="8"/>
        <v>54982667.647058822</v>
      </c>
      <c r="I99" s="243">
        <v>21438873</v>
      </c>
      <c r="J99" s="22">
        <f>I99/'Pop &amp; CPI'!C90</f>
        <v>8932584.6067310404</v>
      </c>
      <c r="K99" s="105">
        <f>J99/'Pop &amp; CPI'!B90</f>
        <v>2.9168728045637127</v>
      </c>
      <c r="L99" s="128">
        <v>86</v>
      </c>
      <c r="M99" s="237">
        <v>21700</v>
      </c>
      <c r="N99" s="295"/>
      <c r="O99" s="88"/>
    </row>
    <row r="100" spans="1:15">
      <c r="A100" s="55">
        <v>2018</v>
      </c>
      <c r="B100" s="20">
        <v>81698009</v>
      </c>
      <c r="C100" s="22">
        <v>7950000</v>
      </c>
      <c r="D100" s="56">
        <f t="shared" si="10"/>
        <v>89648009</v>
      </c>
      <c r="E100" s="56">
        <f>D100/'Pop &amp; CPI'!C91</f>
        <v>36573185.323893033</v>
      </c>
      <c r="F100" s="129">
        <f>E100/'Pop &amp; CPI'!B91</f>
        <v>11.712874310601267</v>
      </c>
      <c r="G100" s="62">
        <v>1.7</v>
      </c>
      <c r="H100" s="16">
        <f t="shared" ref="H100:H107" si="11">D100/G100</f>
        <v>52734122.941176474</v>
      </c>
      <c r="I100" s="243">
        <v>22029132</v>
      </c>
      <c r="J100" s="22">
        <f>I100/'Pop &amp; CPI'!C91</f>
        <v>8987098.9456163216</v>
      </c>
      <c r="K100" s="105">
        <f>J100/'Pop &amp; CPI'!B91</f>
        <v>2.8781950337306914</v>
      </c>
      <c r="L100" s="128">
        <v>86</v>
      </c>
      <c r="M100" s="237">
        <v>14300</v>
      </c>
      <c r="N100" s="295"/>
      <c r="O100" s="88"/>
    </row>
    <row r="101" spans="1:15">
      <c r="A101" s="55">
        <v>2019</v>
      </c>
      <c r="B101" s="20">
        <v>76207715</v>
      </c>
      <c r="C101" s="22">
        <v>7950000</v>
      </c>
      <c r="D101" s="56">
        <f t="shared" ref="D101:D102" si="12">C101+B101</f>
        <v>84157715</v>
      </c>
      <c r="E101" s="56">
        <f>D101/'Pop &amp; CPI'!C92</f>
        <v>33514682.983747963</v>
      </c>
      <c r="F101" s="129">
        <f>E101/'Pop &amp; CPI'!B92</f>
        <v>10.551346515588456</v>
      </c>
      <c r="G101" s="62">
        <v>1.7</v>
      </c>
      <c r="H101" s="16">
        <f t="shared" si="11"/>
        <v>49504538.235294119</v>
      </c>
      <c r="I101" s="243">
        <v>21483265</v>
      </c>
      <c r="J101" s="22">
        <f>I101/'Pop &amp; CPI'!C92</f>
        <v>8555422.5887768958</v>
      </c>
      <c r="K101" s="105">
        <f>J101/'Pop &amp; CPI'!B92</f>
        <v>2.6934829837194778</v>
      </c>
      <c r="L101" s="128">
        <v>86</v>
      </c>
      <c r="M101" s="237">
        <v>880</v>
      </c>
      <c r="N101" s="295"/>
      <c r="O101" s="88"/>
    </row>
    <row r="102" spans="1:15">
      <c r="A102" s="55">
        <v>2020</v>
      </c>
      <c r="B102" s="20">
        <v>76893627.290000021</v>
      </c>
      <c r="C102" s="22">
        <v>7950000</v>
      </c>
      <c r="D102" s="56">
        <f t="shared" si="12"/>
        <v>84843627.290000021</v>
      </c>
      <c r="E102" s="56">
        <f>D102/'Pop &amp; CPI'!C93</f>
        <v>33186441.739436552</v>
      </c>
      <c r="F102" s="129">
        <f>E102/'Pop &amp; CPI'!B93</f>
        <v>10.270916256978504</v>
      </c>
      <c r="G102" s="62">
        <v>1.7</v>
      </c>
      <c r="H102" s="16">
        <f t="shared" si="11"/>
        <v>49908016.052941188</v>
      </c>
      <c r="I102" s="243">
        <v>21181398.810000002</v>
      </c>
      <c r="J102" s="22">
        <f>I102/'Pop &amp; CPI'!C93</f>
        <v>8285068.4255302502</v>
      </c>
      <c r="K102" s="105">
        <f>J102/'Pop &amp; CPI'!B93</f>
        <v>2.5641569123343655</v>
      </c>
      <c r="L102" s="128">
        <v>86</v>
      </c>
      <c r="M102" s="237">
        <v>550</v>
      </c>
      <c r="N102" s="295"/>
      <c r="O102" s="88"/>
    </row>
    <row r="103" spans="1:15">
      <c r="A103" s="68">
        <v>2021</v>
      </c>
      <c r="B103" s="137">
        <v>70589142.379999995</v>
      </c>
      <c r="C103" s="133">
        <v>7950000</v>
      </c>
      <c r="D103" s="53">
        <f t="shared" si="10"/>
        <v>78539142.379999995</v>
      </c>
      <c r="E103" s="53">
        <f>D103/'Pop &amp; CPI'!C94</f>
        <v>30346137.675755661</v>
      </c>
      <c r="F103" s="135">
        <f>E103/'Pop &amp; CPI'!B94</f>
        <v>9.2382870175213885</v>
      </c>
      <c r="G103" s="134">
        <v>1.7</v>
      </c>
      <c r="H103" s="232">
        <f t="shared" si="11"/>
        <v>46199495.517647058</v>
      </c>
      <c r="I103" s="245">
        <v>20662181.789999999</v>
      </c>
      <c r="J103" s="133">
        <f>I103/'Pop &amp; CPI'!C94</f>
        <v>7983502.1656730184</v>
      </c>
      <c r="K103" s="132">
        <f>J103/'Pop &amp; CPI'!B94</f>
        <v>2.4304208067445394</v>
      </c>
      <c r="L103" s="131">
        <v>86</v>
      </c>
      <c r="M103" s="236">
        <v>350</v>
      </c>
      <c r="N103" s="294">
        <v>7431350.209999999</v>
      </c>
      <c r="O103" s="142">
        <v>16</v>
      </c>
    </row>
    <row r="104" spans="1:15">
      <c r="A104" s="55">
        <v>2022</v>
      </c>
      <c r="B104" s="20">
        <v>67042668.639999993</v>
      </c>
      <c r="C104" s="22">
        <v>7950000</v>
      </c>
      <c r="D104" s="56">
        <f t="shared" ref="D104:D107" si="13">C104+B104</f>
        <v>74992668.639999986</v>
      </c>
      <c r="E104" s="56">
        <f>D104/'Pop &amp; CPI'!C95</f>
        <v>27675686.245130904</v>
      </c>
      <c r="F104" s="129">
        <f>E104/'Pop &amp; CPI'!B95</f>
        <v>8.2798301250432047</v>
      </c>
      <c r="G104" s="62">
        <v>1.7</v>
      </c>
      <c r="H104" s="336">
        <f t="shared" si="11"/>
        <v>44113334.49411764</v>
      </c>
      <c r="I104" s="337">
        <v>20887856.199999996</v>
      </c>
      <c r="J104" s="22">
        <f>I104/'Pop &amp; CPI'!C95</f>
        <v>7708563.5837243656</v>
      </c>
      <c r="K104" s="105">
        <f>J104/'Pop &amp; CPI'!B95</f>
        <v>2.3061974476806735</v>
      </c>
      <c r="L104" s="128">
        <v>86</v>
      </c>
      <c r="M104" s="237">
        <v>1010</v>
      </c>
      <c r="N104" s="338">
        <v>13776323.080000002</v>
      </c>
      <c r="O104" s="88"/>
    </row>
    <row r="105" spans="1:15">
      <c r="A105" s="55">
        <v>2023</v>
      </c>
      <c r="B105" s="20">
        <v>63175417</v>
      </c>
      <c r="C105" s="22">
        <v>7950000</v>
      </c>
      <c r="D105" s="56">
        <f t="shared" si="13"/>
        <v>71125417</v>
      </c>
      <c r="E105" s="56">
        <f>D105/'Pop &amp; CPI'!C96</f>
        <v>24303503.100920882</v>
      </c>
      <c r="F105" s="129">
        <f>E105/'Pop &amp; CPI'!B96</f>
        <v>7.1470521827289764</v>
      </c>
      <c r="G105" s="62">
        <v>1.7</v>
      </c>
      <c r="H105" s="336">
        <f t="shared" si="11"/>
        <v>41838480.588235296</v>
      </c>
      <c r="I105" s="337">
        <v>19721746</v>
      </c>
      <c r="J105" s="22">
        <f>I105/'Pop &amp; CPI'!C96</f>
        <v>6738906.2206352195</v>
      </c>
      <c r="K105" s="105">
        <f>J105/'Pop &amp; CPI'!B96</f>
        <v>1.9817437105012186</v>
      </c>
      <c r="L105" s="128">
        <v>86</v>
      </c>
      <c r="M105" s="338">
        <v>750</v>
      </c>
      <c r="N105" s="338">
        <v>14689338</v>
      </c>
      <c r="O105" s="88"/>
    </row>
    <row r="106" spans="1:15">
      <c r="A106" s="55">
        <v>2024</v>
      </c>
      <c r="B106" s="20">
        <v>57305019.000000007</v>
      </c>
      <c r="C106" s="22">
        <v>7950000</v>
      </c>
      <c r="D106" s="56">
        <f t="shared" si="13"/>
        <v>65255019.000000007</v>
      </c>
      <c r="E106" s="56">
        <f>D106/'Pop &amp; CPI'!C97</f>
        <v>21416012.69437024</v>
      </c>
      <c r="F106" s="129">
        <f>E106/'Pop &amp; CPI'!B97</f>
        <v>6.1958979299630466</v>
      </c>
      <c r="G106" s="62">
        <v>1.7</v>
      </c>
      <c r="H106" s="336">
        <f t="shared" si="11"/>
        <v>38385305.294117652</v>
      </c>
      <c r="I106" s="337">
        <v>21309323.559999999</v>
      </c>
      <c r="J106" s="22">
        <f>I106/'Pop &amp; CPI'!C97</f>
        <v>6993496.4522713991</v>
      </c>
      <c r="K106" s="105">
        <f>J106/'Pop &amp; CPI'!B97</f>
        <v>2.0232986789003422</v>
      </c>
      <c r="L106" s="128">
        <v>86</v>
      </c>
      <c r="M106" s="338">
        <v>550</v>
      </c>
      <c r="N106" s="237">
        <v>15249345.079999998</v>
      </c>
      <c r="O106" s="423"/>
    </row>
    <row r="107" spans="1:15" ht="13.5" thickBot="1">
      <c r="A107" s="314">
        <v>2025</v>
      </c>
      <c r="B107" s="315">
        <v>49280007.450000003</v>
      </c>
      <c r="C107" s="316">
        <v>7950000</v>
      </c>
      <c r="D107" s="317">
        <f t="shared" si="13"/>
        <v>57230007.450000003</v>
      </c>
      <c r="E107" s="317">
        <f>D107/'Pop &amp; CPI'!C98</f>
        <v>18244186.901676502</v>
      </c>
      <c r="F107" s="318">
        <f>E107/'Pop &amp; CPI'!B98</f>
        <v>5.202460707245816</v>
      </c>
      <c r="G107" s="319">
        <v>1.7</v>
      </c>
      <c r="H107" s="358">
        <f t="shared" si="11"/>
        <v>33664710.264705881</v>
      </c>
      <c r="I107" s="357">
        <v>20378002.270000003</v>
      </c>
      <c r="J107" s="316">
        <f>I107/'Pop &amp; CPI'!C98</f>
        <v>6496243.8179215733</v>
      </c>
      <c r="K107" s="320">
        <f>J107/'Pop &amp; CPI'!B98</f>
        <v>1.8524505032515255</v>
      </c>
      <c r="L107" s="321">
        <v>86</v>
      </c>
      <c r="M107" s="323">
        <v>1010</v>
      </c>
      <c r="N107" s="356">
        <v>15300493.09</v>
      </c>
      <c r="O107" s="355"/>
    </row>
    <row r="108" spans="1:15" ht="6" customHeight="1">
      <c r="A108" s="246"/>
      <c r="B108" s="162"/>
      <c r="C108" s="162"/>
      <c r="D108" s="163"/>
      <c r="E108" s="49"/>
      <c r="F108" s="164"/>
      <c r="G108" s="165"/>
      <c r="H108" s="166"/>
      <c r="I108" s="167"/>
      <c r="J108" s="168"/>
      <c r="K108" s="169"/>
      <c r="L108" s="43"/>
      <c r="M108" s="166"/>
      <c r="N108" s="166"/>
      <c r="O108" s="247"/>
    </row>
    <row r="109" spans="1:15" ht="21" customHeight="1">
      <c r="A109" s="430" t="s">
        <v>79</v>
      </c>
      <c r="B109" s="431"/>
      <c r="C109" s="431"/>
      <c r="D109" s="431"/>
      <c r="E109" s="431"/>
      <c r="F109" s="431"/>
      <c r="G109" s="431"/>
      <c r="H109" s="431"/>
      <c r="I109" s="431"/>
      <c r="J109" s="431"/>
      <c r="K109" s="431"/>
      <c r="L109" s="431"/>
      <c r="M109" s="431"/>
      <c r="N109" s="431"/>
      <c r="O109" s="432"/>
    </row>
    <row r="110" spans="1:15" ht="12.6" customHeight="1">
      <c r="A110" s="430" t="s">
        <v>80</v>
      </c>
      <c r="B110" s="431"/>
      <c r="C110" s="431"/>
      <c r="D110" s="431"/>
      <c r="E110" s="431"/>
      <c r="F110" s="431"/>
      <c r="G110" s="431"/>
      <c r="H110" s="431"/>
      <c r="I110" s="431"/>
      <c r="J110" s="431"/>
      <c r="K110" s="431"/>
      <c r="L110" s="431"/>
      <c r="M110" s="431"/>
      <c r="N110" s="431"/>
      <c r="O110" s="432"/>
    </row>
    <row r="111" spans="1:15" ht="12.6" customHeight="1">
      <c r="A111" s="430" t="s">
        <v>81</v>
      </c>
      <c r="B111" s="431"/>
      <c r="C111" s="431"/>
      <c r="D111" s="431"/>
      <c r="E111" s="431"/>
      <c r="F111" s="431"/>
      <c r="G111" s="431"/>
      <c r="H111" s="431"/>
      <c r="I111" s="431"/>
      <c r="J111" s="431"/>
      <c r="K111" s="431"/>
      <c r="L111" s="431"/>
      <c r="M111" s="431"/>
      <c r="N111" s="431"/>
      <c r="O111" s="432"/>
    </row>
    <row r="112" spans="1:15" ht="12.6" customHeight="1">
      <c r="A112" s="430" t="s">
        <v>82</v>
      </c>
      <c r="B112" s="431"/>
      <c r="C112" s="431"/>
      <c r="D112" s="431"/>
      <c r="E112" s="431"/>
      <c r="F112" s="431"/>
      <c r="G112" s="431"/>
      <c r="H112" s="431"/>
      <c r="I112" s="431"/>
      <c r="J112" s="431"/>
      <c r="K112" s="431"/>
      <c r="L112" s="431"/>
      <c r="M112" s="431"/>
      <c r="N112" s="431"/>
      <c r="O112" s="432"/>
    </row>
    <row r="113" spans="1:15" ht="12.6" customHeight="1">
      <c r="A113" s="430" t="s">
        <v>83</v>
      </c>
      <c r="B113" s="431"/>
      <c r="C113" s="431"/>
      <c r="D113" s="431"/>
      <c r="E113" s="431"/>
      <c r="F113" s="431"/>
      <c r="G113" s="431"/>
      <c r="H113" s="431"/>
      <c r="I113" s="431"/>
      <c r="J113" s="431"/>
      <c r="K113" s="431"/>
      <c r="L113" s="431"/>
      <c r="M113" s="431"/>
      <c r="N113" s="431"/>
      <c r="O113" s="432"/>
    </row>
    <row r="114" spans="1:15" ht="12.6" customHeight="1">
      <c r="A114" s="430" t="s">
        <v>84</v>
      </c>
      <c r="B114" s="431"/>
      <c r="C114" s="431"/>
      <c r="D114" s="431"/>
      <c r="E114" s="431"/>
      <c r="F114" s="431"/>
      <c r="G114" s="431"/>
      <c r="H114" s="431"/>
      <c r="I114" s="431"/>
      <c r="J114" s="431"/>
      <c r="K114" s="431"/>
      <c r="L114" s="431"/>
      <c r="M114" s="431"/>
      <c r="N114" s="431"/>
      <c r="O114" s="432"/>
    </row>
    <row r="115" spans="1:15" ht="12.6" customHeight="1">
      <c r="A115" s="430" t="s">
        <v>85</v>
      </c>
      <c r="B115" s="431"/>
      <c r="C115" s="431"/>
      <c r="D115" s="431"/>
      <c r="E115" s="431"/>
      <c r="F115" s="431"/>
      <c r="G115" s="431"/>
      <c r="H115" s="431"/>
      <c r="I115" s="431"/>
      <c r="J115" s="431"/>
      <c r="K115" s="431"/>
      <c r="L115" s="431"/>
      <c r="M115" s="431"/>
      <c r="N115" s="431"/>
      <c r="O115" s="432"/>
    </row>
    <row r="116" spans="1:15" ht="12.6" customHeight="1">
      <c r="A116" s="430" t="s">
        <v>86</v>
      </c>
      <c r="B116" s="431"/>
      <c r="C116" s="431"/>
      <c r="D116" s="431"/>
      <c r="E116" s="431"/>
      <c r="F116" s="431"/>
      <c r="G116" s="431"/>
      <c r="H116" s="431"/>
      <c r="I116" s="431"/>
      <c r="J116" s="431"/>
      <c r="K116" s="431"/>
      <c r="L116" s="431"/>
      <c r="M116" s="431"/>
      <c r="N116" s="431"/>
      <c r="O116" s="432"/>
    </row>
    <row r="117" spans="1:15" ht="12.6" customHeight="1">
      <c r="A117" s="430" t="s">
        <v>87</v>
      </c>
      <c r="B117" s="431"/>
      <c r="C117" s="431"/>
      <c r="D117" s="431"/>
      <c r="E117" s="431"/>
      <c r="F117" s="431"/>
      <c r="G117" s="431"/>
      <c r="H117" s="431"/>
      <c r="I117" s="431"/>
      <c r="J117" s="431"/>
      <c r="K117" s="431"/>
      <c r="L117" s="431"/>
      <c r="M117" s="431"/>
      <c r="N117" s="431"/>
      <c r="O117" s="432"/>
    </row>
    <row r="118" spans="1:15" ht="12.6" customHeight="1">
      <c r="A118" s="430" t="s">
        <v>88</v>
      </c>
      <c r="B118" s="431"/>
      <c r="C118" s="431"/>
      <c r="D118" s="431"/>
      <c r="E118" s="431"/>
      <c r="F118" s="431"/>
      <c r="G118" s="431"/>
      <c r="H118" s="431"/>
      <c r="I118" s="431"/>
      <c r="J118" s="431"/>
      <c r="K118" s="431"/>
      <c r="L118" s="431"/>
      <c r="M118" s="431"/>
      <c r="N118" s="431"/>
      <c r="O118" s="432"/>
    </row>
    <row r="119" spans="1:15" ht="12.6" customHeight="1">
      <c r="A119" s="430" t="s">
        <v>89</v>
      </c>
      <c r="B119" s="431"/>
      <c r="C119" s="431"/>
      <c r="D119" s="431"/>
      <c r="E119" s="431"/>
      <c r="F119" s="431"/>
      <c r="G119" s="431"/>
      <c r="H119" s="431"/>
      <c r="I119" s="431"/>
      <c r="J119" s="431"/>
      <c r="K119" s="431"/>
      <c r="L119" s="431"/>
      <c r="M119" s="431"/>
      <c r="N119" s="431"/>
      <c r="O119" s="432"/>
    </row>
    <row r="120" spans="1:15" ht="12.6" customHeight="1">
      <c r="A120" s="430" t="s">
        <v>90</v>
      </c>
      <c r="B120" s="431"/>
      <c r="C120" s="431"/>
      <c r="D120" s="431"/>
      <c r="E120" s="431"/>
      <c r="F120" s="431"/>
      <c r="G120" s="431"/>
      <c r="H120" s="431"/>
      <c r="I120" s="431"/>
      <c r="J120" s="431"/>
      <c r="K120" s="431"/>
      <c r="L120" s="431"/>
      <c r="M120" s="431"/>
      <c r="N120" s="431"/>
      <c r="O120" s="432"/>
    </row>
    <row r="121" spans="1:15" ht="12.6" customHeight="1">
      <c r="A121" s="430" t="s">
        <v>91</v>
      </c>
      <c r="B121" s="431"/>
      <c r="C121" s="431"/>
      <c r="D121" s="431"/>
      <c r="E121" s="431"/>
      <c r="F121" s="431"/>
      <c r="G121" s="431"/>
      <c r="H121" s="431"/>
      <c r="I121" s="431"/>
      <c r="J121" s="431"/>
      <c r="K121" s="431"/>
      <c r="L121" s="431"/>
      <c r="M121" s="431"/>
      <c r="N121" s="431"/>
      <c r="O121" s="432"/>
    </row>
    <row r="122" spans="1:15" ht="12.6" customHeight="1">
      <c r="A122" s="430" t="s">
        <v>92</v>
      </c>
      <c r="B122" s="431"/>
      <c r="C122" s="431"/>
      <c r="D122" s="431"/>
      <c r="E122" s="431"/>
      <c r="F122" s="431"/>
      <c r="G122" s="431"/>
      <c r="H122" s="431"/>
      <c r="I122" s="431"/>
      <c r="J122" s="431"/>
      <c r="K122" s="431"/>
      <c r="L122" s="431"/>
      <c r="M122" s="431"/>
      <c r="N122" s="431"/>
      <c r="O122" s="432"/>
    </row>
    <row r="123" spans="1:15" ht="12.6" customHeight="1">
      <c r="A123" s="430" t="s">
        <v>93</v>
      </c>
      <c r="B123" s="431"/>
      <c r="C123" s="431"/>
      <c r="D123" s="431"/>
      <c r="E123" s="431"/>
      <c r="F123" s="431"/>
      <c r="G123" s="431"/>
      <c r="H123" s="431"/>
      <c r="I123" s="431"/>
      <c r="J123" s="431"/>
      <c r="K123" s="431"/>
      <c r="L123" s="431"/>
      <c r="M123" s="431"/>
      <c r="N123" s="431"/>
      <c r="O123" s="432"/>
    </row>
    <row r="124" spans="1:15" ht="12.6" customHeight="1">
      <c r="A124" s="430" t="s">
        <v>140</v>
      </c>
      <c r="B124" s="431"/>
      <c r="C124" s="431"/>
      <c r="D124" s="431"/>
      <c r="E124" s="431"/>
      <c r="F124" s="431"/>
      <c r="G124" s="431"/>
      <c r="H124" s="431"/>
      <c r="I124" s="431"/>
      <c r="J124" s="431"/>
      <c r="K124" s="431"/>
      <c r="L124" s="431"/>
      <c r="M124" s="431"/>
      <c r="N124" s="431"/>
      <c r="O124" s="432"/>
    </row>
    <row r="125" spans="1:15" ht="12.6" customHeight="1">
      <c r="A125" s="430" t="s">
        <v>26</v>
      </c>
      <c r="B125" s="431"/>
      <c r="C125" s="431"/>
      <c r="D125" s="431"/>
      <c r="E125" s="431"/>
      <c r="F125" s="431"/>
      <c r="G125" s="431"/>
      <c r="H125" s="431"/>
      <c r="I125" s="431"/>
      <c r="J125" s="431"/>
      <c r="K125" s="431"/>
      <c r="L125" s="431"/>
      <c r="M125" s="431"/>
      <c r="N125" s="431"/>
      <c r="O125" s="432"/>
    </row>
    <row r="126" spans="1:15" ht="12.6" customHeight="1">
      <c r="A126" s="430" t="s">
        <v>24</v>
      </c>
      <c r="B126" s="431"/>
      <c r="C126" s="431"/>
      <c r="D126" s="431"/>
      <c r="E126" s="431"/>
      <c r="F126" s="431"/>
      <c r="G126" s="431"/>
      <c r="H126" s="431"/>
      <c r="I126" s="431"/>
      <c r="J126" s="431"/>
      <c r="K126" s="431"/>
      <c r="L126" s="431"/>
      <c r="M126" s="431"/>
      <c r="N126" s="431"/>
      <c r="O126" s="432"/>
    </row>
    <row r="127" spans="1:15" ht="12.6" customHeight="1">
      <c r="A127" s="430" t="s">
        <v>5</v>
      </c>
      <c r="B127" s="431"/>
      <c r="C127" s="431"/>
      <c r="D127" s="431"/>
      <c r="E127" s="431"/>
      <c r="F127" s="431"/>
      <c r="G127" s="431"/>
      <c r="H127" s="431"/>
      <c r="I127" s="431"/>
      <c r="J127" s="431"/>
      <c r="K127" s="431"/>
      <c r="L127" s="431"/>
      <c r="M127" s="431"/>
      <c r="N127" s="431"/>
      <c r="O127" s="432"/>
    </row>
    <row r="128" spans="1:15" ht="12.6" customHeight="1" thickBot="1">
      <c r="A128" s="433" t="s">
        <v>94</v>
      </c>
      <c r="B128" s="434"/>
      <c r="C128" s="434"/>
      <c r="D128" s="434"/>
      <c r="E128" s="434"/>
      <c r="F128" s="434"/>
      <c r="G128" s="434"/>
      <c r="H128" s="434"/>
      <c r="I128" s="434"/>
      <c r="J128" s="434"/>
      <c r="K128" s="434"/>
      <c r="L128" s="434"/>
      <c r="M128" s="434"/>
      <c r="N128" s="434"/>
      <c r="O128" s="435"/>
    </row>
  </sheetData>
  <mergeCells count="28">
    <mergeCell ref="I3:L3"/>
    <mergeCell ref="A1:O1"/>
    <mergeCell ref="M3:M4"/>
    <mergeCell ref="A3:A4"/>
    <mergeCell ref="O3:O4"/>
    <mergeCell ref="A2:O2"/>
    <mergeCell ref="B3:H3"/>
    <mergeCell ref="N3:N4"/>
    <mergeCell ref="A109:O109"/>
    <mergeCell ref="A110:O110"/>
    <mergeCell ref="A111:O111"/>
    <mergeCell ref="A112:O112"/>
    <mergeCell ref="A113:O113"/>
    <mergeCell ref="A114:O114"/>
    <mergeCell ref="A115:O115"/>
    <mergeCell ref="A116:O116"/>
    <mergeCell ref="A117:O117"/>
    <mergeCell ref="A118:O118"/>
    <mergeCell ref="A125:O125"/>
    <mergeCell ref="A126:O126"/>
    <mergeCell ref="A127:O127"/>
    <mergeCell ref="A128:O128"/>
    <mergeCell ref="A119:O119"/>
    <mergeCell ref="A120:O120"/>
    <mergeCell ref="A121:O121"/>
    <mergeCell ref="A122:O122"/>
    <mergeCell ref="A123:O123"/>
    <mergeCell ref="A124:O124"/>
  </mergeCells>
  <phoneticPr fontId="0" type="noConversion"/>
  <pageMargins left="0.5" right="0.5" top="1" bottom="1" header="0.5" footer="0.5"/>
  <pageSetup fitToHeight="2" orientation="landscape" horizontalDpi="4294967292" vertic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showGridLines="0" zoomScaleNormal="100" workbookViewId="0"/>
  </sheetViews>
  <sheetFormatPr defaultRowHeight="12.7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01"/>
  <sheetViews>
    <sheetView showGridLines="0" zoomScaleNormal="100" workbookViewId="0">
      <pane ySplit="3" topLeftCell="A70" activePane="bottomLeft" state="frozen"/>
      <selection pane="bottomLeft" sqref="A1:J1"/>
    </sheetView>
  </sheetViews>
  <sheetFormatPr defaultColWidth="9.140625" defaultRowHeight="12.75"/>
  <cols>
    <col min="1" max="1" width="6" style="1" customWidth="1"/>
    <col min="2" max="2" width="9.7109375" style="1" bestFit="1" customWidth="1"/>
    <col min="3" max="3" width="12" style="1" bestFit="1" customWidth="1"/>
    <col min="4" max="4" width="12" style="1" customWidth="1"/>
    <col min="5" max="5" width="10.7109375" style="25" bestFit="1" customWidth="1"/>
    <col min="6" max="6" width="10.7109375" style="1" bestFit="1" customWidth="1"/>
    <col min="7" max="7" width="6.85546875" style="1" bestFit="1" customWidth="1"/>
    <col min="8" max="8" width="10.42578125" style="1" customWidth="1"/>
    <col min="9" max="9" width="10.7109375" style="1" bestFit="1" customWidth="1"/>
    <col min="10" max="10" width="24.28515625" style="43" customWidth="1"/>
    <col min="11" max="16384" width="9.140625" style="1"/>
  </cols>
  <sheetData>
    <row r="1" spans="1:10" ht="21.95" customHeight="1">
      <c r="A1" s="451" t="s">
        <v>22</v>
      </c>
      <c r="B1" s="451"/>
      <c r="C1" s="451"/>
      <c r="D1" s="451"/>
      <c r="E1" s="451"/>
      <c r="F1" s="451"/>
      <c r="G1" s="451"/>
      <c r="H1" s="451"/>
      <c r="I1" s="451"/>
      <c r="J1" s="451"/>
    </row>
    <row r="2" spans="1:10" ht="6" customHeight="1" thickBot="1">
      <c r="A2" s="452"/>
      <c r="B2" s="452"/>
      <c r="C2" s="452"/>
      <c r="D2" s="452"/>
      <c r="E2" s="452"/>
      <c r="F2" s="452"/>
      <c r="G2" s="452"/>
      <c r="H2" s="452"/>
      <c r="I2" s="452"/>
      <c r="J2" s="452"/>
    </row>
    <row r="3" spans="1:10" ht="90" thickBot="1">
      <c r="A3" s="46" t="s">
        <v>32</v>
      </c>
      <c r="B3" s="40" t="s">
        <v>55</v>
      </c>
      <c r="C3" s="40" t="s">
        <v>59</v>
      </c>
      <c r="D3" s="40" t="s">
        <v>148</v>
      </c>
      <c r="E3" s="40" t="s">
        <v>56</v>
      </c>
      <c r="F3" s="40" t="s">
        <v>33</v>
      </c>
      <c r="G3" s="40" t="s">
        <v>34</v>
      </c>
      <c r="H3" s="40" t="s">
        <v>57</v>
      </c>
      <c r="I3" s="40" t="s">
        <v>58</v>
      </c>
      <c r="J3" s="28" t="s">
        <v>3</v>
      </c>
    </row>
    <row r="4" spans="1:10">
      <c r="A4" s="69">
        <v>1934</v>
      </c>
      <c r="B4" s="91">
        <v>85460</v>
      </c>
      <c r="C4" s="92"/>
      <c r="D4" s="92"/>
      <c r="E4" s="93">
        <f t="shared" ref="E4:E67" si="0">B4+C4</f>
        <v>85460</v>
      </c>
      <c r="F4" s="70">
        <f>E4/'Pop &amp; CPI'!C7</f>
        <v>657384.61538461538</v>
      </c>
      <c r="G4" s="94">
        <f>F4/'Pop &amp; CPI'!B7</f>
        <v>1.2666370238624574</v>
      </c>
      <c r="H4" s="95">
        <v>1.2</v>
      </c>
      <c r="I4" s="70">
        <f t="shared" ref="I4:I35" si="1">((E4/H4)*31)</f>
        <v>2207716.666666667</v>
      </c>
      <c r="J4" s="96" t="s">
        <v>14</v>
      </c>
    </row>
    <row r="5" spans="1:10">
      <c r="A5" s="58">
        <v>1935</v>
      </c>
      <c r="B5" s="97">
        <v>178321</v>
      </c>
      <c r="C5" s="98"/>
      <c r="D5" s="98"/>
      <c r="E5" s="99">
        <f t="shared" si="0"/>
        <v>178321</v>
      </c>
      <c r="F5" s="59">
        <f>E5/'Pop &amp; CPI'!C8</f>
        <v>1330753.7313432836</v>
      </c>
      <c r="G5" s="100">
        <f>F5/'Pop &amp; CPI'!B8</f>
        <v>2.5493366500829189</v>
      </c>
      <c r="H5" s="101">
        <v>1.0900000000000001</v>
      </c>
      <c r="I5" s="59">
        <f t="shared" si="1"/>
        <v>5071514.6788990824</v>
      </c>
      <c r="J5" s="102" t="s">
        <v>13</v>
      </c>
    </row>
    <row r="6" spans="1:10">
      <c r="A6" s="55">
        <v>1936</v>
      </c>
      <c r="B6" s="42">
        <v>104999</v>
      </c>
      <c r="C6" s="103"/>
      <c r="D6" s="103"/>
      <c r="E6" s="104">
        <f t="shared" si="0"/>
        <v>104999</v>
      </c>
      <c r="F6" s="56">
        <f>E6/'Pop &amp; CPI'!C9</f>
        <v>766416.0583941607</v>
      </c>
      <c r="G6" s="105">
        <f>F6/'Pop &amp; CPI'!B9</f>
        <v>1.4626260656377112</v>
      </c>
      <c r="H6" s="106">
        <v>0.8</v>
      </c>
      <c r="I6" s="56">
        <f t="shared" si="1"/>
        <v>4068711.25</v>
      </c>
      <c r="J6" s="45"/>
    </row>
    <row r="7" spans="1:10">
      <c r="A7" s="55">
        <v>1937</v>
      </c>
      <c r="B7" s="42">
        <v>113539</v>
      </c>
      <c r="C7" s="103"/>
      <c r="D7" s="103"/>
      <c r="E7" s="104">
        <f t="shared" si="0"/>
        <v>113539</v>
      </c>
      <c r="F7" s="56">
        <f>E7/'Pop &amp; CPI'!C10</f>
        <v>816827.33812949632</v>
      </c>
      <c r="G7" s="105">
        <f>F7/'Pop &amp; CPI'!B10</f>
        <v>1.5499569983481905</v>
      </c>
      <c r="H7" s="106">
        <v>0.8</v>
      </c>
      <c r="I7" s="56">
        <f t="shared" si="1"/>
        <v>4399636.25</v>
      </c>
      <c r="J7" s="45"/>
    </row>
    <row r="8" spans="1:10">
      <c r="A8" s="55">
        <v>1938</v>
      </c>
      <c r="B8" s="42">
        <v>120060</v>
      </c>
      <c r="C8" s="103"/>
      <c r="D8" s="103"/>
      <c r="E8" s="104">
        <f t="shared" si="0"/>
        <v>120060</v>
      </c>
      <c r="F8" s="56">
        <f>E8/'Pop &amp; CPI'!C11</f>
        <v>833749.99999999988</v>
      </c>
      <c r="G8" s="105">
        <f>F8/'Pop &amp; CPI'!B11</f>
        <v>1.5790719696969695</v>
      </c>
      <c r="H8" s="106">
        <v>0.8</v>
      </c>
      <c r="I8" s="56">
        <f t="shared" si="1"/>
        <v>4652325</v>
      </c>
      <c r="J8" s="45"/>
    </row>
    <row r="9" spans="1:10">
      <c r="A9" s="55">
        <v>1939</v>
      </c>
      <c r="B9" s="42">
        <v>112698</v>
      </c>
      <c r="C9" s="103"/>
      <c r="D9" s="103"/>
      <c r="E9" s="104">
        <f t="shared" si="0"/>
        <v>112698</v>
      </c>
      <c r="F9" s="56">
        <f>E9/'Pop &amp; CPI'!C12</f>
        <v>799276.59574468096</v>
      </c>
      <c r="G9" s="105">
        <f>F9/'Pop &amp; CPI'!B12</f>
        <v>1.4719642647231694</v>
      </c>
      <c r="H9" s="106">
        <v>0.8</v>
      </c>
      <c r="I9" s="56">
        <f t="shared" si="1"/>
        <v>4367047.5</v>
      </c>
      <c r="J9" s="45"/>
    </row>
    <row r="10" spans="1:10">
      <c r="A10" s="58">
        <v>1940</v>
      </c>
      <c r="B10" s="97">
        <v>116802</v>
      </c>
      <c r="C10" s="98"/>
      <c r="D10" s="98"/>
      <c r="E10" s="99">
        <f t="shared" si="0"/>
        <v>116802</v>
      </c>
      <c r="F10" s="59">
        <f>E10/'Pop &amp; CPI'!C13</f>
        <v>840302.15827338118</v>
      </c>
      <c r="G10" s="100">
        <f>F10/'Pop &amp; CPI'!B13</f>
        <v>1.5475177868754717</v>
      </c>
      <c r="H10" s="107">
        <v>0.8</v>
      </c>
      <c r="I10" s="59">
        <f t="shared" si="1"/>
        <v>4526077.5</v>
      </c>
      <c r="J10" s="108"/>
    </row>
    <row r="11" spans="1:10">
      <c r="A11" s="55">
        <v>1941</v>
      </c>
      <c r="B11" s="42">
        <v>110364</v>
      </c>
      <c r="C11" s="103"/>
      <c r="D11" s="103"/>
      <c r="E11" s="104">
        <f t="shared" si="0"/>
        <v>110364</v>
      </c>
      <c r="F11" s="56">
        <f>E11/'Pop &amp; CPI'!C14</f>
        <v>788314.28571428568</v>
      </c>
      <c r="G11" s="105">
        <f>F11/'Pop &amp; CPI'!B14</f>
        <v>1.4286232071661575</v>
      </c>
      <c r="H11" s="106">
        <v>0.8</v>
      </c>
      <c r="I11" s="56">
        <f t="shared" si="1"/>
        <v>4276605</v>
      </c>
      <c r="J11" s="45"/>
    </row>
    <row r="12" spans="1:10">
      <c r="A12" s="55">
        <v>1942</v>
      </c>
      <c r="B12" s="42">
        <v>124766</v>
      </c>
      <c r="C12" s="103"/>
      <c r="D12" s="103"/>
      <c r="E12" s="104">
        <f t="shared" si="0"/>
        <v>124766</v>
      </c>
      <c r="F12" s="56">
        <f>E12/'Pop &amp; CPI'!C15</f>
        <v>848748.29931972793</v>
      </c>
      <c r="G12" s="105">
        <f>F12/'Pop &amp; CPI'!B15</f>
        <v>1.5403780386927912</v>
      </c>
      <c r="H12" s="106">
        <v>0.8</v>
      </c>
      <c r="I12" s="56">
        <f t="shared" si="1"/>
        <v>4834682.5</v>
      </c>
      <c r="J12" s="45"/>
    </row>
    <row r="13" spans="1:10">
      <c r="A13" s="55">
        <v>1943</v>
      </c>
      <c r="B13" s="42">
        <v>198745</v>
      </c>
      <c r="C13" s="103"/>
      <c r="D13" s="103"/>
      <c r="E13" s="104">
        <f t="shared" si="0"/>
        <v>198745</v>
      </c>
      <c r="F13" s="56">
        <f>E13/'Pop &amp; CPI'!C16</f>
        <v>1219294.4785276074</v>
      </c>
      <c r="G13" s="105">
        <f>F13/'Pop &amp; CPI'!B16</f>
        <v>2.1346191850973519</v>
      </c>
      <c r="H13" s="106">
        <v>0.8</v>
      </c>
      <c r="I13" s="56">
        <f t="shared" si="1"/>
        <v>7701368.75</v>
      </c>
      <c r="J13" s="45"/>
    </row>
    <row r="14" spans="1:10">
      <c r="A14" s="55">
        <v>1944</v>
      </c>
      <c r="B14" s="42">
        <v>198538</v>
      </c>
      <c r="C14" s="103"/>
      <c r="D14" s="103"/>
      <c r="E14" s="104">
        <f t="shared" si="0"/>
        <v>198538</v>
      </c>
      <c r="F14" s="56">
        <f>E14/'Pop &amp; CPI'!C17</f>
        <v>1147618.4971098264</v>
      </c>
      <c r="G14" s="105">
        <f>F14/'Pop &amp; CPI'!B17</f>
        <v>1.7931539017341038</v>
      </c>
      <c r="H14" s="106">
        <v>0.8</v>
      </c>
      <c r="I14" s="56">
        <f t="shared" si="1"/>
        <v>7693347.5</v>
      </c>
      <c r="J14" s="45"/>
    </row>
    <row r="15" spans="1:10">
      <c r="A15" s="58">
        <v>1945</v>
      </c>
      <c r="B15" s="97">
        <v>221057</v>
      </c>
      <c r="C15" s="98"/>
      <c r="D15" s="98"/>
      <c r="E15" s="99">
        <f t="shared" si="0"/>
        <v>221057</v>
      </c>
      <c r="F15" s="59">
        <f>E15/'Pop &amp; CPI'!C18</f>
        <v>1256005.6818181816</v>
      </c>
      <c r="G15" s="100">
        <f>F15/'Pop &amp; CPI'!B18</f>
        <v>2.0770724025437102</v>
      </c>
      <c r="H15" s="109">
        <v>0.84</v>
      </c>
      <c r="I15" s="59">
        <f t="shared" si="1"/>
        <v>8158055.9523809534</v>
      </c>
      <c r="J15" s="108" t="s">
        <v>12</v>
      </c>
    </row>
    <row r="16" spans="1:10">
      <c r="A16" s="55">
        <v>1946</v>
      </c>
      <c r="B16" s="42">
        <v>307334</v>
      </c>
      <c r="C16" s="103"/>
      <c r="D16" s="103"/>
      <c r="E16" s="104">
        <f t="shared" si="0"/>
        <v>307334</v>
      </c>
      <c r="F16" s="56">
        <f>E16/'Pop &amp; CPI'!C19</f>
        <v>1707411.1111111112</v>
      </c>
      <c r="G16" s="105">
        <f>F16/'Pop &amp; CPI'!B19</f>
        <v>2.898338331541523</v>
      </c>
      <c r="H16" s="106">
        <v>1.1000000000000001</v>
      </c>
      <c r="I16" s="56">
        <f t="shared" si="1"/>
        <v>8661230.9090909082</v>
      </c>
      <c r="J16" s="45"/>
    </row>
    <row r="17" spans="1:10">
      <c r="A17" s="55">
        <v>1947</v>
      </c>
      <c r="B17" s="42">
        <v>306978</v>
      </c>
      <c r="C17" s="103"/>
      <c r="D17" s="103"/>
      <c r="E17" s="104">
        <f t="shared" si="0"/>
        <v>306978</v>
      </c>
      <c r="F17" s="56">
        <f>E17/'Pop &amp; CPI'!C20</f>
        <v>1574246.1538461538</v>
      </c>
      <c r="G17" s="105">
        <f>F17/'Pop &amp; CPI'!B20</f>
        <v>2.4674704605739088</v>
      </c>
      <c r="H17" s="106">
        <v>1.1000000000000001</v>
      </c>
      <c r="I17" s="56">
        <f t="shared" si="1"/>
        <v>8651198.1818181816</v>
      </c>
      <c r="J17" s="45"/>
    </row>
    <row r="18" spans="1:10">
      <c r="A18" s="55">
        <v>1948</v>
      </c>
      <c r="B18" s="42">
        <v>305830</v>
      </c>
      <c r="C18" s="103"/>
      <c r="D18" s="103"/>
      <c r="E18" s="104">
        <f t="shared" si="0"/>
        <v>305830</v>
      </c>
      <c r="F18" s="56">
        <f>E18/'Pop &amp; CPI'!C21</f>
        <v>1371434.9775784754</v>
      </c>
      <c r="G18" s="105">
        <f>F18/'Pop &amp; CPI'!B21</f>
        <v>2.1563443043686719</v>
      </c>
      <c r="H18" s="106">
        <v>1.1000000000000001</v>
      </c>
      <c r="I18" s="56">
        <f t="shared" si="1"/>
        <v>8618845.4545454532</v>
      </c>
      <c r="J18" s="45"/>
    </row>
    <row r="19" spans="1:10">
      <c r="A19" s="55">
        <v>1949</v>
      </c>
      <c r="B19" s="42">
        <v>280164</v>
      </c>
      <c r="C19" s="103"/>
      <c r="D19" s="103"/>
      <c r="E19" s="104">
        <f t="shared" si="0"/>
        <v>280164</v>
      </c>
      <c r="F19" s="56">
        <f>E19/'Pop &amp; CPI'!C22</f>
        <v>1162506.22406639</v>
      </c>
      <c r="G19" s="105">
        <f>F19/'Pop &amp; CPI'!B22</f>
        <v>1.7802545544661408</v>
      </c>
      <c r="H19" s="106">
        <v>1.1000000000000001</v>
      </c>
      <c r="I19" s="56">
        <f t="shared" si="1"/>
        <v>7895530.9090909082</v>
      </c>
      <c r="J19" s="45"/>
    </row>
    <row r="20" spans="1:10">
      <c r="A20" s="58">
        <v>1950</v>
      </c>
      <c r="B20" s="97">
        <v>277883</v>
      </c>
      <c r="C20" s="98"/>
      <c r="D20" s="98"/>
      <c r="E20" s="99">
        <f t="shared" si="0"/>
        <v>277883</v>
      </c>
      <c r="F20" s="59">
        <f>E20/'Pop &amp; CPI'!C23</f>
        <v>1167575.6302521008</v>
      </c>
      <c r="G20" s="100">
        <f>F20/'Pop &amp; CPI'!B23</f>
        <v>1.7405718996006272</v>
      </c>
      <c r="H20" s="107">
        <v>1.1000000000000001</v>
      </c>
      <c r="I20" s="59">
        <f t="shared" si="1"/>
        <v>7831248.1818181807</v>
      </c>
      <c r="J20" s="108"/>
    </row>
    <row r="21" spans="1:10">
      <c r="A21" s="55">
        <v>1951</v>
      </c>
      <c r="B21" s="42">
        <v>296063</v>
      </c>
      <c r="C21" s="103"/>
      <c r="D21" s="103"/>
      <c r="E21" s="104">
        <f t="shared" si="0"/>
        <v>296063</v>
      </c>
      <c r="F21" s="56">
        <f>E21/'Pop &amp; CPI'!C24</f>
        <v>1228477.1784232364</v>
      </c>
      <c r="G21" s="105">
        <f>F21/'Pop &amp; CPI'!B24</f>
        <v>1.7653070533456479</v>
      </c>
      <c r="H21" s="106">
        <v>1.1000000000000001</v>
      </c>
      <c r="I21" s="56">
        <f t="shared" si="1"/>
        <v>8343593.6363636367</v>
      </c>
      <c r="J21" s="45"/>
    </row>
    <row r="22" spans="1:10">
      <c r="A22" s="55">
        <v>1952</v>
      </c>
      <c r="B22" s="42">
        <v>269162</v>
      </c>
      <c r="C22" s="103"/>
      <c r="D22" s="103"/>
      <c r="E22" s="104">
        <f t="shared" si="0"/>
        <v>269162</v>
      </c>
      <c r="F22" s="56">
        <f>E22/'Pop &amp; CPI'!C25</f>
        <v>1035238.4615384615</v>
      </c>
      <c r="G22" s="105">
        <f>F22/'Pop &amp; CPI'!B25</f>
        <v>1.4661357619862081</v>
      </c>
      <c r="H22" s="106">
        <v>1.1000000000000001</v>
      </c>
      <c r="I22" s="56">
        <f t="shared" si="1"/>
        <v>7585474.5454545449</v>
      </c>
      <c r="J22" s="45"/>
    </row>
    <row r="23" spans="1:10">
      <c r="A23" s="55">
        <v>1953</v>
      </c>
      <c r="B23" s="42">
        <v>215159</v>
      </c>
      <c r="C23" s="103"/>
      <c r="D23" s="103"/>
      <c r="E23" s="104">
        <f t="shared" si="0"/>
        <v>215159</v>
      </c>
      <c r="F23" s="56">
        <f>E23/'Pop &amp; CPI'!C26</f>
        <v>811920.75471698109</v>
      </c>
      <c r="G23" s="105">
        <f>F23/'Pop &amp; CPI'!B26</f>
        <v>1.1214375065151672</v>
      </c>
      <c r="H23" s="106">
        <v>1.1000000000000001</v>
      </c>
      <c r="I23" s="56">
        <f t="shared" si="1"/>
        <v>6063571.8181818174</v>
      </c>
      <c r="J23" s="45"/>
    </row>
    <row r="24" spans="1:10">
      <c r="A24" s="55">
        <v>1954</v>
      </c>
      <c r="B24" s="42">
        <v>218763</v>
      </c>
      <c r="C24" s="103"/>
      <c r="D24" s="103"/>
      <c r="E24" s="104">
        <f t="shared" si="0"/>
        <v>218763</v>
      </c>
      <c r="F24" s="56">
        <f>E24/'Pop &amp; CPI'!C27</f>
        <v>819337.07865168538</v>
      </c>
      <c r="G24" s="105">
        <f>F24/'Pop &amp; CPI'!B27</f>
        <v>1.1085605177265396</v>
      </c>
      <c r="H24" s="106">
        <v>1.1000000000000001</v>
      </c>
      <c r="I24" s="56">
        <f t="shared" si="1"/>
        <v>6165139.0909090908</v>
      </c>
      <c r="J24" s="45"/>
    </row>
    <row r="25" spans="1:10">
      <c r="A25" s="58">
        <v>1955</v>
      </c>
      <c r="B25" s="97">
        <v>227938</v>
      </c>
      <c r="C25" s="98"/>
      <c r="D25" s="98"/>
      <c r="E25" s="99">
        <f t="shared" si="0"/>
        <v>227938</v>
      </c>
      <c r="F25" s="59">
        <f>E25/'Pop &amp; CPI'!C28</f>
        <v>847353.15985130123</v>
      </c>
      <c r="G25" s="100">
        <f>F25/'Pop &amp; CPI'!B28</f>
        <v>1.1290515121269837</v>
      </c>
      <c r="H25" s="107">
        <v>1.1000000000000001</v>
      </c>
      <c r="I25" s="59">
        <f t="shared" si="1"/>
        <v>6423707.2727272725</v>
      </c>
      <c r="J25" s="108"/>
    </row>
    <row r="26" spans="1:10">
      <c r="A26" s="55">
        <v>1956</v>
      </c>
      <c r="B26" s="42">
        <v>258631</v>
      </c>
      <c r="C26" s="103"/>
      <c r="D26" s="103"/>
      <c r="E26" s="104">
        <f t="shared" si="0"/>
        <v>258631</v>
      </c>
      <c r="F26" s="56">
        <f>E26/'Pop &amp; CPI'!C29</f>
        <v>965041.04477611929</v>
      </c>
      <c r="G26" s="105">
        <f>F26/'Pop &amp; CPI'!B29</f>
        <v>1.2328066489219716</v>
      </c>
      <c r="H26" s="106">
        <v>1.1000000000000001</v>
      </c>
      <c r="I26" s="56">
        <f t="shared" si="1"/>
        <v>7288691.8181818174</v>
      </c>
      <c r="J26" s="45"/>
    </row>
    <row r="27" spans="1:10">
      <c r="A27" s="55">
        <v>1957</v>
      </c>
      <c r="B27" s="42">
        <v>236399</v>
      </c>
      <c r="C27" s="103"/>
      <c r="D27" s="103"/>
      <c r="E27" s="104">
        <f t="shared" si="0"/>
        <v>236399</v>
      </c>
      <c r="F27" s="56">
        <f>E27/'Pop &amp; CPI'!C30</f>
        <v>869113.97058823518</v>
      </c>
      <c r="G27" s="105">
        <f>F27/'Pop &amp; CPI'!B30</f>
        <v>1.0745721693721997</v>
      </c>
      <c r="H27" s="106">
        <v>1.1000000000000001</v>
      </c>
      <c r="I27" s="56">
        <f t="shared" si="1"/>
        <v>6662153.6363636358</v>
      </c>
      <c r="J27" s="45"/>
    </row>
    <row r="28" spans="1:10">
      <c r="A28" s="55">
        <v>1958</v>
      </c>
      <c r="B28" s="42">
        <v>255459</v>
      </c>
      <c r="C28" s="103"/>
      <c r="D28" s="103"/>
      <c r="E28" s="104">
        <f t="shared" si="0"/>
        <v>255459</v>
      </c>
      <c r="F28" s="56">
        <f>E28/'Pop &amp; CPI'!C31</f>
        <v>909106.76156583626</v>
      </c>
      <c r="G28" s="105">
        <f>F28/'Pop &amp; CPI'!B31</f>
        <v>1.1002139193583884</v>
      </c>
      <c r="H28" s="106">
        <v>1.1000000000000001</v>
      </c>
      <c r="I28" s="56">
        <f t="shared" si="1"/>
        <v>7199299.0909090908</v>
      </c>
      <c r="J28" s="45"/>
    </row>
    <row r="29" spans="1:10">
      <c r="A29" s="55">
        <v>1959</v>
      </c>
      <c r="B29" s="42">
        <v>240420</v>
      </c>
      <c r="C29" s="103"/>
      <c r="D29" s="103"/>
      <c r="E29" s="104">
        <f t="shared" si="0"/>
        <v>240420</v>
      </c>
      <c r="F29" s="56">
        <f>E29/'Pop &amp; CPI'!C32</f>
        <v>831903.11418685131</v>
      </c>
      <c r="G29" s="105">
        <f>F29/'Pop &amp; CPI'!B32</f>
        <v>0.98426776406395089</v>
      </c>
      <c r="H29" s="106">
        <v>1.1000000000000001</v>
      </c>
      <c r="I29" s="56">
        <f t="shared" si="1"/>
        <v>6775472.7272727266</v>
      </c>
      <c r="J29" s="45"/>
    </row>
    <row r="30" spans="1:10">
      <c r="A30" s="58">
        <v>1960</v>
      </c>
      <c r="B30" s="97">
        <v>253160</v>
      </c>
      <c r="C30" s="98"/>
      <c r="D30" s="98"/>
      <c r="E30" s="99">
        <f t="shared" si="0"/>
        <v>253160</v>
      </c>
      <c r="F30" s="59">
        <f>E30/'Pop &amp; CPI'!C33</f>
        <v>869965.63573883148</v>
      </c>
      <c r="G30" s="100">
        <f>F30/'Pop &amp; CPI'!B33</f>
        <v>1.0000754520506168</v>
      </c>
      <c r="H30" s="107">
        <v>1.1000000000000001</v>
      </c>
      <c r="I30" s="59">
        <f t="shared" si="1"/>
        <v>7134509.0909090908</v>
      </c>
      <c r="J30" s="108"/>
    </row>
    <row r="31" spans="1:10">
      <c r="A31" s="55">
        <v>1961</v>
      </c>
      <c r="B31" s="42">
        <v>261234</v>
      </c>
      <c r="C31" s="103"/>
      <c r="D31" s="103"/>
      <c r="E31" s="104">
        <f t="shared" si="0"/>
        <v>261234</v>
      </c>
      <c r="F31" s="56">
        <f>E31/'Pop &amp; CPI'!C34</f>
        <v>882547.29729729716</v>
      </c>
      <c r="G31" s="105">
        <f>F31/'Pop &amp; CPI'!B34</f>
        <v>0.98060810810810795</v>
      </c>
      <c r="H31" s="106">
        <v>1.1000000000000001</v>
      </c>
      <c r="I31" s="56">
        <f t="shared" si="1"/>
        <v>7362049.0909090908</v>
      </c>
      <c r="J31" s="45"/>
    </row>
    <row r="32" spans="1:10">
      <c r="A32" s="55">
        <v>1962</v>
      </c>
      <c r="B32" s="42">
        <v>285202</v>
      </c>
      <c r="C32" s="103"/>
      <c r="D32" s="103"/>
      <c r="E32" s="104">
        <f t="shared" si="0"/>
        <v>285202</v>
      </c>
      <c r="F32" s="56">
        <f>E32/'Pop &amp; CPI'!C35</f>
        <v>953852.84280936455</v>
      </c>
      <c r="G32" s="105">
        <f>F32/'Pop &amp; CPI'!B35</f>
        <v>1.0190735500100048</v>
      </c>
      <c r="H32" s="106">
        <v>1.1000000000000001</v>
      </c>
      <c r="I32" s="56">
        <f t="shared" si="1"/>
        <v>8037510.9090909082</v>
      </c>
      <c r="J32" s="45"/>
    </row>
    <row r="33" spans="1:10">
      <c r="A33" s="55">
        <v>1963</v>
      </c>
      <c r="B33" s="42">
        <v>286060</v>
      </c>
      <c r="C33" s="103"/>
      <c r="D33" s="103"/>
      <c r="E33" s="104">
        <f t="shared" si="0"/>
        <v>286060</v>
      </c>
      <c r="F33" s="56">
        <f>E33/'Pop &amp; CPI'!C36</f>
        <v>947218.54304635769</v>
      </c>
      <c r="G33" s="105">
        <f>F33/'Pop &amp; CPI'!B36</f>
        <v>0.98874586956822308</v>
      </c>
      <c r="H33" s="106">
        <v>1.1000000000000001</v>
      </c>
      <c r="I33" s="56">
        <f t="shared" si="1"/>
        <v>8061690.9090909082</v>
      </c>
      <c r="J33" s="45"/>
    </row>
    <row r="34" spans="1:10">
      <c r="A34" s="55">
        <v>1964</v>
      </c>
      <c r="B34" s="42">
        <v>309303</v>
      </c>
      <c r="C34" s="103"/>
      <c r="D34" s="103"/>
      <c r="E34" s="104">
        <f t="shared" si="0"/>
        <v>309303</v>
      </c>
      <c r="F34" s="56">
        <f>E34/'Pop &amp; CPI'!C37</f>
        <v>1010794.1176470588</v>
      </c>
      <c r="G34" s="105">
        <f>F34/'Pop &amp; CPI'!B37</f>
        <v>1.0377763014856867</v>
      </c>
      <c r="H34" s="106">
        <v>1.1000000000000001</v>
      </c>
      <c r="I34" s="56">
        <f t="shared" si="1"/>
        <v>8716720.9090909082</v>
      </c>
      <c r="J34" s="45"/>
    </row>
    <row r="35" spans="1:10">
      <c r="A35" s="58">
        <v>1965</v>
      </c>
      <c r="B35" s="97">
        <v>317027</v>
      </c>
      <c r="C35" s="98"/>
      <c r="D35" s="98"/>
      <c r="E35" s="99">
        <f t="shared" si="0"/>
        <v>317027</v>
      </c>
      <c r="F35" s="59">
        <f>E35/'Pop &amp; CPI'!C38</f>
        <v>1022667.7419354839</v>
      </c>
      <c r="G35" s="100">
        <f>F35/'Pop &amp; CPI'!B38</f>
        <v>1.0456725377663434</v>
      </c>
      <c r="H35" s="107">
        <v>1.1000000000000001</v>
      </c>
      <c r="I35" s="59">
        <f t="shared" si="1"/>
        <v>8934397.2727272715</v>
      </c>
      <c r="J35" s="108"/>
    </row>
    <row r="36" spans="1:10">
      <c r="A36" s="55">
        <v>1966</v>
      </c>
      <c r="B36" s="42">
        <v>302216</v>
      </c>
      <c r="C36" s="103"/>
      <c r="D36" s="103"/>
      <c r="E36" s="104">
        <f t="shared" si="0"/>
        <v>302216</v>
      </c>
      <c r="F36" s="56">
        <f>E36/'Pop &amp; CPI'!C39</f>
        <v>959415.87301587302</v>
      </c>
      <c r="G36" s="105">
        <f>F36/'Pop &amp; CPI'!B39</f>
        <v>0.96812903432479613</v>
      </c>
      <c r="H36" s="106">
        <v>1.1000000000000001</v>
      </c>
      <c r="I36" s="56">
        <f t="shared" ref="I36:I67" si="2">((E36/H36)*31)</f>
        <v>8516996.3636363633</v>
      </c>
      <c r="J36" s="45"/>
    </row>
    <row r="37" spans="1:10">
      <c r="A37" s="55">
        <v>1967</v>
      </c>
      <c r="B37" s="42">
        <v>353280</v>
      </c>
      <c r="C37" s="103"/>
      <c r="D37" s="103"/>
      <c r="E37" s="104">
        <f t="shared" si="0"/>
        <v>353280</v>
      </c>
      <c r="F37" s="56">
        <f>E37/'Pop &amp; CPI'!C40</f>
        <v>1090370.3703703703</v>
      </c>
      <c r="G37" s="105">
        <f>F37/'Pop &amp; CPI'!B40</f>
        <v>1.080644569247146</v>
      </c>
      <c r="H37" s="106">
        <v>1.1000000000000001</v>
      </c>
      <c r="I37" s="56">
        <f t="shared" si="2"/>
        <v>9956072.7272727266</v>
      </c>
      <c r="J37" s="45"/>
    </row>
    <row r="38" spans="1:10">
      <c r="A38" s="55">
        <v>1968</v>
      </c>
      <c r="B38" s="42">
        <v>342037</v>
      </c>
      <c r="C38" s="103"/>
      <c r="D38" s="103"/>
      <c r="E38" s="104">
        <f t="shared" si="0"/>
        <v>342037</v>
      </c>
      <c r="F38" s="56">
        <f>E38/'Pop &amp; CPI'!C41</f>
        <v>1024062.8742514971</v>
      </c>
      <c r="G38" s="105">
        <f>F38/'Pop &amp; CPI'!B41</f>
        <v>1.0049684732595654</v>
      </c>
      <c r="H38" s="106">
        <v>1.1000000000000001</v>
      </c>
      <c r="I38" s="56">
        <f t="shared" si="2"/>
        <v>9639224.5454545449</v>
      </c>
      <c r="J38" s="45"/>
    </row>
    <row r="39" spans="1:10">
      <c r="A39" s="55">
        <v>1969</v>
      </c>
      <c r="B39" s="42">
        <v>364256</v>
      </c>
      <c r="C39" s="103"/>
      <c r="D39" s="103"/>
      <c r="E39" s="104">
        <f t="shared" si="0"/>
        <v>364256</v>
      </c>
      <c r="F39" s="56">
        <f>E39/'Pop &amp; CPI'!C42</f>
        <v>1046712.643678161</v>
      </c>
      <c r="G39" s="105">
        <f>F39/'Pop &amp; CPI'!B42</f>
        <v>1.0172134535259096</v>
      </c>
      <c r="H39" s="106">
        <v>1.1000000000000001</v>
      </c>
      <c r="I39" s="56">
        <f t="shared" si="2"/>
        <v>10265396.363636363</v>
      </c>
      <c r="J39" s="45"/>
    </row>
    <row r="40" spans="1:10">
      <c r="A40" s="58">
        <v>1970</v>
      </c>
      <c r="B40" s="97">
        <v>408576</v>
      </c>
      <c r="C40" s="98"/>
      <c r="D40" s="98"/>
      <c r="E40" s="99">
        <f t="shared" si="0"/>
        <v>408576</v>
      </c>
      <c r="F40" s="59">
        <f>E40/'Pop &amp; CPI'!C43</f>
        <v>1113286.1035422343</v>
      </c>
      <c r="G40" s="100">
        <f>F40/'Pop &amp; CPI'!B43</f>
        <v>1.0633105095914368</v>
      </c>
      <c r="H40" s="107">
        <v>1.1000000000000001</v>
      </c>
      <c r="I40" s="59">
        <f t="shared" si="2"/>
        <v>11514414.545454545</v>
      </c>
      <c r="J40" s="108"/>
    </row>
    <row r="41" spans="1:10">
      <c r="A41" s="55">
        <v>1971</v>
      </c>
      <c r="B41" s="42">
        <v>432680</v>
      </c>
      <c r="C41" s="103"/>
      <c r="D41" s="103"/>
      <c r="E41" s="104">
        <f t="shared" si="0"/>
        <v>432680</v>
      </c>
      <c r="F41" s="56">
        <f>E41/'Pop &amp; CPI'!C44</f>
        <v>1115154.6391752579</v>
      </c>
      <c r="G41" s="105">
        <f>F41/'Pop &amp; CPI'!B44</f>
        <v>1.0461112937854202</v>
      </c>
      <c r="H41" s="106">
        <v>1.1000000000000001</v>
      </c>
      <c r="I41" s="56">
        <f t="shared" si="2"/>
        <v>12193709.09090909</v>
      </c>
      <c r="J41" s="45"/>
    </row>
    <row r="42" spans="1:10">
      <c r="A42" s="55">
        <v>1972</v>
      </c>
      <c r="B42" s="42">
        <v>1211902</v>
      </c>
      <c r="C42" s="103"/>
      <c r="D42" s="103"/>
      <c r="E42" s="104">
        <f t="shared" si="0"/>
        <v>1211902</v>
      </c>
      <c r="F42" s="56">
        <f>E42/'Pop &amp; CPI'!C45</f>
        <v>2992350.6172839506</v>
      </c>
      <c r="G42" s="105">
        <f>F42/'Pop &amp; CPI'!B45</f>
        <v>2.7174777435262687</v>
      </c>
      <c r="H42" s="106">
        <v>3.1</v>
      </c>
      <c r="I42" s="56">
        <f t="shared" si="2"/>
        <v>12119020</v>
      </c>
      <c r="J42" s="45" t="s">
        <v>11</v>
      </c>
    </row>
    <row r="43" spans="1:10">
      <c r="A43" s="55">
        <v>1973</v>
      </c>
      <c r="B43" s="42">
        <v>1413886</v>
      </c>
      <c r="C43" s="103"/>
      <c r="D43" s="103"/>
      <c r="E43" s="104">
        <f t="shared" si="0"/>
        <v>1413886</v>
      </c>
      <c r="F43" s="56">
        <f>E43/'Pop &amp; CPI'!C46</f>
        <v>3382502.3923444976</v>
      </c>
      <c r="G43" s="105">
        <f>F43/'Pop &amp; CPI'!B46</f>
        <v>2.9799157716011786</v>
      </c>
      <c r="H43" s="106">
        <v>3.1</v>
      </c>
      <c r="I43" s="56">
        <f t="shared" si="2"/>
        <v>14138860</v>
      </c>
      <c r="J43" s="45"/>
    </row>
    <row r="44" spans="1:10">
      <c r="A44" s="55">
        <v>1974</v>
      </c>
      <c r="B44" s="42">
        <v>1507619</v>
      </c>
      <c r="C44" s="103"/>
      <c r="D44" s="103"/>
      <c r="E44" s="104">
        <f t="shared" si="0"/>
        <v>1507619</v>
      </c>
      <c r="F44" s="56">
        <f>E44/'Pop &amp; CPI'!C47</f>
        <v>3395538.2882882883</v>
      </c>
      <c r="G44" s="105">
        <f>F44/'Pop &amp; CPI'!B47</f>
        <v>2.9047763277199952</v>
      </c>
      <c r="H44" s="106">
        <v>3.1</v>
      </c>
      <c r="I44" s="56">
        <f t="shared" si="2"/>
        <v>15076190</v>
      </c>
      <c r="J44" s="45"/>
    </row>
    <row r="45" spans="1:10">
      <c r="A45" s="58">
        <v>1975</v>
      </c>
      <c r="B45" s="97">
        <v>1629922</v>
      </c>
      <c r="C45" s="98"/>
      <c r="D45" s="98"/>
      <c r="E45" s="99">
        <f t="shared" si="0"/>
        <v>1629922</v>
      </c>
      <c r="F45" s="59">
        <f>E45/'Pop &amp; CPI'!C48</f>
        <v>3306129.8174442193</v>
      </c>
      <c r="G45" s="100">
        <f>F45/'Pop &amp; CPI'!B48</f>
        <v>2.7621285913732563</v>
      </c>
      <c r="H45" s="107">
        <v>3.1</v>
      </c>
      <c r="I45" s="59">
        <f t="shared" si="2"/>
        <v>16299219.999999998</v>
      </c>
      <c r="J45" s="108"/>
    </row>
    <row r="46" spans="1:10">
      <c r="A46" s="55">
        <v>1976</v>
      </c>
      <c r="B46" s="42">
        <v>1692821</v>
      </c>
      <c r="C46" s="103"/>
      <c r="D46" s="103"/>
      <c r="E46" s="110">
        <f t="shared" si="0"/>
        <v>1692821</v>
      </c>
      <c r="F46" s="56">
        <f>E46/'Pop &amp; CPI'!C49</f>
        <v>3146507.4349442385</v>
      </c>
      <c r="G46" s="105">
        <f>F46/'Pop &amp; CPI'!B49</f>
        <v>2.5500505996792597</v>
      </c>
      <c r="H46" s="106">
        <v>3.1</v>
      </c>
      <c r="I46" s="56">
        <f t="shared" si="2"/>
        <v>16928210</v>
      </c>
      <c r="J46" s="45"/>
    </row>
    <row r="47" spans="1:10">
      <c r="A47" s="55">
        <v>1977</v>
      </c>
      <c r="B47" s="42">
        <v>1904552</v>
      </c>
      <c r="C47" s="103"/>
      <c r="D47" s="103"/>
      <c r="E47" s="110">
        <f t="shared" si="0"/>
        <v>1904552</v>
      </c>
      <c r="F47" s="56">
        <f>E47/'Pop &amp; CPI'!C50</f>
        <v>3347191.5641476279</v>
      </c>
      <c r="G47" s="105">
        <f>F47/'Pop &amp; CPI'!B50</f>
        <v>2.6313364758835172</v>
      </c>
      <c r="H47" s="106">
        <v>3.1</v>
      </c>
      <c r="I47" s="56">
        <f t="shared" si="2"/>
        <v>19045520</v>
      </c>
      <c r="J47" s="45"/>
    </row>
    <row r="48" spans="1:10">
      <c r="A48" s="55">
        <v>1978</v>
      </c>
      <c r="B48" s="42">
        <v>1985418</v>
      </c>
      <c r="C48" s="103"/>
      <c r="D48" s="103"/>
      <c r="E48" s="110">
        <f t="shared" si="0"/>
        <v>1985418</v>
      </c>
      <c r="F48" s="56">
        <f>E48/'Pop &amp; CPI'!C51</f>
        <v>3276267.3267326732</v>
      </c>
      <c r="G48" s="105">
        <f>F48/'Pop &amp; CPI'!B51</f>
        <v>2.4896594298663879</v>
      </c>
      <c r="H48" s="106">
        <v>3.1</v>
      </c>
      <c r="I48" s="56">
        <f t="shared" si="2"/>
        <v>19854180</v>
      </c>
      <c r="J48" s="45"/>
    </row>
    <row r="49" spans="1:10">
      <c r="A49" s="55">
        <v>1979</v>
      </c>
      <c r="B49" s="42">
        <v>1913438</v>
      </c>
      <c r="C49" s="103"/>
      <c r="D49" s="103"/>
      <c r="E49" s="110">
        <f t="shared" si="0"/>
        <v>1913438</v>
      </c>
      <c r="F49" s="56">
        <f>E49/'Pop &amp; CPI'!C52</f>
        <v>2934720.8588957055</v>
      </c>
      <c r="G49" s="105">
        <f>F49/'Pop &amp; CPI'!B52</f>
        <v>2.1519493007484551</v>
      </c>
      <c r="H49" s="106">
        <v>3.1</v>
      </c>
      <c r="I49" s="56">
        <f t="shared" si="2"/>
        <v>19134380</v>
      </c>
      <c r="J49" s="45"/>
    </row>
    <row r="50" spans="1:10">
      <c r="A50" s="58">
        <v>1980</v>
      </c>
      <c r="B50" s="97">
        <v>2174058</v>
      </c>
      <c r="C50" s="98"/>
      <c r="D50" s="98"/>
      <c r="E50" s="111">
        <f t="shared" si="0"/>
        <v>2174058</v>
      </c>
      <c r="F50" s="59">
        <f>E50/'Pop &amp; CPI'!C53</f>
        <v>2994570.2479338846</v>
      </c>
      <c r="G50" s="100">
        <f>F50/'Pop &amp; CPI'!B53</f>
        <v>2.1148841752419822</v>
      </c>
      <c r="H50" s="107">
        <v>3.1</v>
      </c>
      <c r="I50" s="59">
        <f t="shared" si="2"/>
        <v>21740580</v>
      </c>
      <c r="J50" s="108"/>
    </row>
    <row r="51" spans="1:10">
      <c r="A51" s="55">
        <v>1981</v>
      </c>
      <c r="B51" s="42">
        <v>2227120</v>
      </c>
      <c r="C51" s="103"/>
      <c r="D51" s="103"/>
      <c r="E51" s="110">
        <f t="shared" si="0"/>
        <v>2227120</v>
      </c>
      <c r="F51" s="56">
        <f>E51/'Pop &amp; CPI'!C54</f>
        <v>2702815.5339805824</v>
      </c>
      <c r="G51" s="105">
        <f>F51/'Pop &amp; CPI'!B54</f>
        <v>1.8336604708145063</v>
      </c>
      <c r="H51" s="106">
        <v>3.1</v>
      </c>
      <c r="I51" s="56">
        <f t="shared" si="2"/>
        <v>22271200</v>
      </c>
      <c r="J51" s="45"/>
    </row>
    <row r="52" spans="1:10">
      <c r="A52" s="55">
        <v>1982</v>
      </c>
      <c r="B52" s="42">
        <v>2942982</v>
      </c>
      <c r="C52" s="103"/>
      <c r="D52" s="103"/>
      <c r="E52" s="110">
        <f t="shared" si="0"/>
        <v>2942982</v>
      </c>
      <c r="F52" s="56">
        <f>E52/'Pop &amp; CPI'!C55</f>
        <v>3237603.9603960393</v>
      </c>
      <c r="G52" s="105">
        <f>F52/'Pop &amp; CPI'!B55</f>
        <v>2.1370323170930954</v>
      </c>
      <c r="H52" s="112">
        <v>4.12</v>
      </c>
      <c r="I52" s="56">
        <f t="shared" si="2"/>
        <v>22143796.601941746</v>
      </c>
      <c r="J52" s="45" t="s">
        <v>10</v>
      </c>
    </row>
    <row r="53" spans="1:10">
      <c r="A53" s="55">
        <v>1983</v>
      </c>
      <c r="B53" s="42">
        <v>2949304</v>
      </c>
      <c r="C53" s="103"/>
      <c r="D53" s="103"/>
      <c r="E53" s="110">
        <f t="shared" si="0"/>
        <v>2949304</v>
      </c>
      <c r="F53" s="56">
        <f>E53/'Pop &amp; CPI'!C56</f>
        <v>3056273.5751295337</v>
      </c>
      <c r="G53" s="105">
        <f>F53/'Pop &amp; CPI'!B56</f>
        <v>1.9616646823681216</v>
      </c>
      <c r="H53" s="112">
        <v>4.12</v>
      </c>
      <c r="I53" s="56">
        <f t="shared" si="2"/>
        <v>22191365.048543688</v>
      </c>
      <c r="J53" s="45"/>
    </row>
    <row r="54" spans="1:10">
      <c r="A54" s="55">
        <v>1984</v>
      </c>
      <c r="B54" s="42">
        <v>7134426</v>
      </c>
      <c r="C54" s="103"/>
      <c r="D54" s="103"/>
      <c r="E54" s="110">
        <f t="shared" si="0"/>
        <v>7134426</v>
      </c>
      <c r="F54" s="56">
        <f>E54/'Pop &amp; CPI'!C57</f>
        <v>7163078.3132530125</v>
      </c>
      <c r="G54" s="105">
        <f>F54/'Pop &amp; CPI'!B57</f>
        <v>4.4909581901272801</v>
      </c>
      <c r="H54" s="106">
        <v>11</v>
      </c>
      <c r="I54" s="56">
        <f t="shared" si="2"/>
        <v>20106109.636363633</v>
      </c>
      <c r="J54" s="45" t="s">
        <v>9</v>
      </c>
    </row>
    <row r="55" spans="1:10">
      <c r="A55" s="58">
        <v>1985</v>
      </c>
      <c r="B55" s="97">
        <v>8129900</v>
      </c>
      <c r="C55" s="98"/>
      <c r="D55" s="98"/>
      <c r="E55" s="111">
        <f t="shared" si="0"/>
        <v>8129900</v>
      </c>
      <c r="F55" s="59">
        <f>E55/'Pop &amp; CPI'!C58</f>
        <v>7824735.3224254083</v>
      </c>
      <c r="G55" s="100">
        <f>F55/'Pop &amp; CPI'!B58</f>
        <v>4.8241278190045671</v>
      </c>
      <c r="H55" s="107">
        <v>11</v>
      </c>
      <c r="I55" s="59">
        <f t="shared" si="2"/>
        <v>22911536.363636367</v>
      </c>
      <c r="J55" s="108"/>
    </row>
    <row r="56" spans="1:10">
      <c r="A56" s="55">
        <v>1986</v>
      </c>
      <c r="B56" s="42">
        <v>7918330</v>
      </c>
      <c r="C56" s="103"/>
      <c r="D56" s="103"/>
      <c r="E56" s="110">
        <f t="shared" si="0"/>
        <v>7918330</v>
      </c>
      <c r="F56" s="56">
        <f>E56/'Pop &amp; CPI'!C59</f>
        <v>7359042.7509293687</v>
      </c>
      <c r="G56" s="105">
        <f>F56/'Pop &amp; CPI'!B59</f>
        <v>4.4790278459704007</v>
      </c>
      <c r="H56" s="106">
        <v>11</v>
      </c>
      <c r="I56" s="56">
        <f t="shared" si="2"/>
        <v>22315293.636363633</v>
      </c>
      <c r="J56" s="45"/>
    </row>
    <row r="57" spans="1:10">
      <c r="A57" s="55">
        <v>1987</v>
      </c>
      <c r="B57" s="42">
        <v>8042814</v>
      </c>
      <c r="C57" s="103"/>
      <c r="D57" s="103"/>
      <c r="E57" s="110">
        <f t="shared" si="0"/>
        <v>8042814</v>
      </c>
      <c r="F57" s="56">
        <f>E57/'Pop &amp; CPI'!C60</f>
        <v>7338333.9416058399</v>
      </c>
      <c r="G57" s="105">
        <f>F57/'Pop &amp; CPI'!B60</f>
        <v>4.4127083232747086</v>
      </c>
      <c r="H57" s="106">
        <v>11</v>
      </c>
      <c r="I57" s="56">
        <f t="shared" si="2"/>
        <v>22666112.18181818</v>
      </c>
      <c r="J57" s="45"/>
    </row>
    <row r="58" spans="1:10">
      <c r="A58" s="55">
        <v>1988</v>
      </c>
      <c r="B58" s="42">
        <v>7559416</v>
      </c>
      <c r="C58" s="103"/>
      <c r="D58" s="103"/>
      <c r="E58" s="110">
        <f t="shared" si="0"/>
        <v>7559416</v>
      </c>
      <c r="F58" s="56">
        <f>E58/'Pop &amp; CPI'!C61</f>
        <v>6654415.4929577466</v>
      </c>
      <c r="G58" s="105">
        <f>F58/'Pop &amp; CPI'!B61</f>
        <v>3.9656826537292886</v>
      </c>
      <c r="H58" s="106">
        <v>11</v>
      </c>
      <c r="I58" s="56">
        <f t="shared" si="2"/>
        <v>21303808.727272727</v>
      </c>
      <c r="J58" s="45"/>
    </row>
    <row r="59" spans="1:10">
      <c r="A59" s="55">
        <v>1989</v>
      </c>
      <c r="B59" s="42">
        <v>7640817</v>
      </c>
      <c r="C59" s="103"/>
      <c r="D59" s="103"/>
      <c r="E59" s="110">
        <f t="shared" si="0"/>
        <v>7640817</v>
      </c>
      <c r="F59" s="56">
        <f>E59/'Pop &amp; CPI'!C62</f>
        <v>6458847.8444632292</v>
      </c>
      <c r="G59" s="105">
        <f>F59/'Pop &amp; CPI'!B62</f>
        <v>3.821803458262266</v>
      </c>
      <c r="H59" s="106">
        <v>11</v>
      </c>
      <c r="I59" s="113">
        <f t="shared" si="2"/>
        <v>21533211.545454547</v>
      </c>
      <c r="J59" s="45"/>
    </row>
    <row r="60" spans="1:10">
      <c r="A60" s="58">
        <v>1990</v>
      </c>
      <c r="B60" s="97">
        <v>7926214</v>
      </c>
      <c r="C60" s="98"/>
      <c r="D60" s="98"/>
      <c r="E60" s="111">
        <f t="shared" si="0"/>
        <v>7926214</v>
      </c>
      <c r="F60" s="59">
        <f>E60/'Pop &amp; CPI'!C63</f>
        <v>6392108.064516129</v>
      </c>
      <c r="G60" s="100">
        <f>F60/'Pop &amp; CPI'!B63</f>
        <v>3.7468394282040616</v>
      </c>
      <c r="H60" s="107">
        <v>11</v>
      </c>
      <c r="I60" s="114">
        <f t="shared" si="2"/>
        <v>22337512.18181818</v>
      </c>
      <c r="J60" s="108"/>
    </row>
    <row r="61" spans="1:10">
      <c r="A61" s="55">
        <v>1991</v>
      </c>
      <c r="B61" s="42">
        <v>7743017</v>
      </c>
      <c r="C61" s="103"/>
      <c r="D61" s="103"/>
      <c r="E61" s="110">
        <f t="shared" si="0"/>
        <v>7743017</v>
      </c>
      <c r="F61" s="56">
        <f>E61/'Pop &amp; CPI'!C64</f>
        <v>5924267.023718439</v>
      </c>
      <c r="G61" s="105">
        <f>F61/'Pop &amp; CPI'!B64</f>
        <v>3.4259625969976404</v>
      </c>
      <c r="H61" s="106">
        <v>11</v>
      </c>
      <c r="I61" s="113">
        <f t="shared" si="2"/>
        <v>21821229.727272727</v>
      </c>
      <c r="J61" s="45"/>
    </row>
    <row r="62" spans="1:10">
      <c r="A62" s="55">
        <v>1992</v>
      </c>
      <c r="B62" s="42">
        <v>8480707</v>
      </c>
      <c r="C62" s="103"/>
      <c r="D62" s="103"/>
      <c r="E62" s="110">
        <f t="shared" si="0"/>
        <v>8480707</v>
      </c>
      <c r="F62" s="56">
        <f>E62/'Pop &amp; CPI'!C65</f>
        <v>6226657.1218795897</v>
      </c>
      <c r="G62" s="105">
        <f>F62/'Pop &amp; CPI'!B65</f>
        <v>3.4964130575952144</v>
      </c>
      <c r="H62" s="106">
        <v>11</v>
      </c>
      <c r="I62" s="113">
        <f t="shared" si="2"/>
        <v>23900174.272727273</v>
      </c>
      <c r="J62" s="45"/>
    </row>
    <row r="63" spans="1:10">
      <c r="A63" s="55">
        <v>1993</v>
      </c>
      <c r="B63" s="42">
        <v>8515351</v>
      </c>
      <c r="C63" s="103"/>
      <c r="D63" s="103"/>
      <c r="E63" s="110">
        <f t="shared" si="0"/>
        <v>8515351</v>
      </c>
      <c r="F63" s="56">
        <f>E63/'Pop &amp; CPI'!C66</f>
        <v>6069387.7405559514</v>
      </c>
      <c r="G63" s="105">
        <f>F63/'Pop &amp; CPI'!B66</f>
        <v>3.3019019353468906</v>
      </c>
      <c r="H63" s="106">
        <v>11</v>
      </c>
      <c r="I63" s="113">
        <f t="shared" si="2"/>
        <v>23997807.363636367</v>
      </c>
      <c r="J63" s="45"/>
    </row>
    <row r="64" spans="1:10">
      <c r="A64" s="55">
        <v>1994</v>
      </c>
      <c r="B64" s="42">
        <v>8774763</v>
      </c>
      <c r="C64" s="103"/>
      <c r="D64" s="103"/>
      <c r="E64" s="110">
        <f t="shared" si="0"/>
        <v>8774763</v>
      </c>
      <c r="F64" s="56">
        <f>E64/'Pop &amp; CPI'!C67</f>
        <v>6072500.3460207609</v>
      </c>
      <c r="G64" s="105">
        <f>F64/'Pop &amp; CPI'!B67</f>
        <v>3.2139953657183873</v>
      </c>
      <c r="H64" s="106">
        <v>11</v>
      </c>
      <c r="I64" s="113">
        <f t="shared" si="2"/>
        <v>24728877.545454547</v>
      </c>
      <c r="J64" s="45"/>
    </row>
    <row r="65" spans="1:10">
      <c r="A65" s="58">
        <v>1995</v>
      </c>
      <c r="B65" s="97">
        <v>9166556</v>
      </c>
      <c r="C65" s="98"/>
      <c r="D65" s="98"/>
      <c r="E65" s="111">
        <f t="shared" si="0"/>
        <v>9166556</v>
      </c>
      <c r="F65" s="59">
        <f>E65/'Pop &amp; CPI'!C68</f>
        <v>6185260.4588394063</v>
      </c>
      <c r="G65" s="100">
        <f>F65/'Pop &amp; CPI'!B68</f>
        <v>3.1772711440619412</v>
      </c>
      <c r="H65" s="107">
        <v>11</v>
      </c>
      <c r="I65" s="114">
        <f t="shared" si="2"/>
        <v>25833021.454545453</v>
      </c>
      <c r="J65" s="108"/>
    </row>
    <row r="66" spans="1:10">
      <c r="A66" s="55">
        <v>1996</v>
      </c>
      <c r="B66" s="42">
        <v>9090612</v>
      </c>
      <c r="C66" s="103"/>
      <c r="D66" s="103"/>
      <c r="E66" s="110">
        <f t="shared" si="0"/>
        <v>9090612</v>
      </c>
      <c r="F66" s="56">
        <f>E66/'Pop &amp; CPI'!C69</f>
        <v>5964968.5039370079</v>
      </c>
      <c r="G66" s="105">
        <f>F66/'Pop &amp; CPI'!B69</f>
        <v>2.989617479274052</v>
      </c>
      <c r="H66" s="106">
        <v>11</v>
      </c>
      <c r="I66" s="113">
        <f t="shared" si="2"/>
        <v>25618997.454545453</v>
      </c>
      <c r="J66" s="45"/>
    </row>
    <row r="67" spans="1:10">
      <c r="A67" s="55">
        <v>1997</v>
      </c>
      <c r="B67" s="42">
        <v>9460373</v>
      </c>
      <c r="C67" s="103"/>
      <c r="D67" s="103"/>
      <c r="E67" s="104">
        <f t="shared" si="0"/>
        <v>9460373</v>
      </c>
      <c r="F67" s="56">
        <f>E67/'Pop &amp; CPI'!C70</f>
        <v>6029555.7680050991</v>
      </c>
      <c r="G67" s="105">
        <f>F67/'Pop &amp; CPI'!B70</f>
        <v>2.9514789898468003</v>
      </c>
      <c r="H67" s="106">
        <v>11</v>
      </c>
      <c r="I67" s="113">
        <f t="shared" si="2"/>
        <v>26661051.18181818</v>
      </c>
      <c r="J67" s="45"/>
    </row>
    <row r="68" spans="1:10">
      <c r="A68" s="55">
        <v>1998</v>
      </c>
      <c r="B68" s="42">
        <v>9446854</v>
      </c>
      <c r="C68" s="103"/>
      <c r="D68" s="103"/>
      <c r="E68" s="104">
        <f t="shared" ref="E68:E73" si="3">B68+C68</f>
        <v>9446854</v>
      </c>
      <c r="F68" s="56">
        <f>E68/'Pop &amp; CPI'!C71</f>
        <v>5885890.3426791281</v>
      </c>
      <c r="G68" s="105">
        <f>F68/'Pop &amp; CPI'!B71</f>
        <v>2.8035939365217204</v>
      </c>
      <c r="H68" s="106">
        <v>11</v>
      </c>
      <c r="I68" s="113">
        <f>((E68/H68)*31)</f>
        <v>26622952.18181818</v>
      </c>
      <c r="J68" s="45"/>
    </row>
    <row r="69" spans="1:10">
      <c r="A69" s="55">
        <v>1999</v>
      </c>
      <c r="B69" s="42">
        <v>9827752</v>
      </c>
      <c r="C69" s="103"/>
      <c r="D69" s="103"/>
      <c r="E69" s="104">
        <f t="shared" si="3"/>
        <v>9827752</v>
      </c>
      <c r="F69" s="56">
        <f>E69/'Pop &amp; CPI'!C72</f>
        <v>6029295.7055214727</v>
      </c>
      <c r="G69" s="105">
        <f>F69/'Pop &amp; CPI'!B72</f>
        <v>2.815280919187551</v>
      </c>
      <c r="H69" s="106">
        <v>11</v>
      </c>
      <c r="I69" s="113">
        <f t="shared" ref="I69:I84" si="4">(E69/H69)*31</f>
        <v>27696392</v>
      </c>
      <c r="J69" s="45"/>
    </row>
    <row r="70" spans="1:10">
      <c r="A70" s="58">
        <v>2000</v>
      </c>
      <c r="B70" s="97">
        <v>10023004</v>
      </c>
      <c r="C70" s="98"/>
      <c r="D70" s="98"/>
      <c r="E70" s="111">
        <f t="shared" si="3"/>
        <v>10023004</v>
      </c>
      <c r="F70" s="59">
        <f>E70/'Pop &amp; CPI'!C73</f>
        <v>6016208.8835534221</v>
      </c>
      <c r="G70" s="100">
        <f>F70/'Pop &amp; CPI'!B73</f>
        <v>2.7433517905282057</v>
      </c>
      <c r="H70" s="107">
        <v>11</v>
      </c>
      <c r="I70" s="114">
        <f t="shared" si="4"/>
        <v>28246647.636363633</v>
      </c>
      <c r="J70" s="108"/>
    </row>
    <row r="71" spans="1:10">
      <c r="A71" s="55">
        <v>2001</v>
      </c>
      <c r="B71" s="42">
        <v>10320329</v>
      </c>
      <c r="C71" s="103"/>
      <c r="D71" s="103"/>
      <c r="E71" s="115">
        <f t="shared" si="3"/>
        <v>10320329</v>
      </c>
      <c r="F71" s="56">
        <f>E71/'Pop &amp; CPI'!C74</f>
        <v>5993222.415795587</v>
      </c>
      <c r="G71" s="105">
        <f>F71/'Pop &amp; CPI'!B74</f>
        <v>2.6678423266192026</v>
      </c>
      <c r="H71" s="106">
        <v>11</v>
      </c>
      <c r="I71" s="113">
        <f t="shared" si="4"/>
        <v>29084563.545454547</v>
      </c>
      <c r="J71" s="45"/>
    </row>
    <row r="72" spans="1:10">
      <c r="A72" s="55">
        <v>2002</v>
      </c>
      <c r="B72" s="42">
        <v>10470264</v>
      </c>
      <c r="C72" s="103"/>
      <c r="D72" s="103"/>
      <c r="E72" s="110">
        <f t="shared" si="3"/>
        <v>10470264</v>
      </c>
      <c r="F72" s="56">
        <f>E72/'Pop &amp; CPI'!C75</f>
        <v>5912063.2411067197</v>
      </c>
      <c r="G72" s="105">
        <f>F72/'Pop &amp; CPI'!B75</f>
        <v>2.5809724474126901</v>
      </c>
      <c r="H72" s="106">
        <v>11</v>
      </c>
      <c r="I72" s="113">
        <f t="shared" si="4"/>
        <v>29507107.636363633</v>
      </c>
      <c r="J72" s="45"/>
    </row>
    <row r="73" spans="1:10">
      <c r="A73" s="55">
        <v>2003</v>
      </c>
      <c r="B73" s="42">
        <v>10356639</v>
      </c>
      <c r="C73" s="103"/>
      <c r="D73" s="103"/>
      <c r="E73" s="110">
        <f t="shared" si="3"/>
        <v>10356639</v>
      </c>
      <c r="F73" s="56">
        <f>E73/'Pop &amp; CPI'!C76</f>
        <v>5756886.6036687046</v>
      </c>
      <c r="G73" s="105">
        <f>F73/'Pop &amp; CPI'!B76</f>
        <v>2.4688319813179476</v>
      </c>
      <c r="H73" s="106">
        <v>11</v>
      </c>
      <c r="I73" s="113">
        <f t="shared" si="4"/>
        <v>29186891.727272727</v>
      </c>
      <c r="J73" s="116" t="s">
        <v>29</v>
      </c>
    </row>
    <row r="74" spans="1:10">
      <c r="A74" s="55">
        <v>2004</v>
      </c>
      <c r="B74" s="42">
        <v>9367478</v>
      </c>
      <c r="C74" s="117">
        <v>2525666</v>
      </c>
      <c r="D74" s="117"/>
      <c r="E74" s="16">
        <f>B74+C74</f>
        <v>11893144</v>
      </c>
      <c r="F74" s="56">
        <f>E74/'Pop &amp; CPI'!C77</f>
        <v>6463665.2173913037</v>
      </c>
      <c r="G74" s="105">
        <f>F74/'Pop &amp; CPI'!B77</f>
        <v>2.7244592812143793</v>
      </c>
      <c r="H74" s="106">
        <v>12.8</v>
      </c>
      <c r="I74" s="113">
        <f t="shared" si="4"/>
        <v>28803708.125</v>
      </c>
      <c r="J74" s="116" t="s">
        <v>30</v>
      </c>
    </row>
    <row r="75" spans="1:10">
      <c r="A75" s="58">
        <v>2005</v>
      </c>
      <c r="B75" s="97">
        <v>8918275</v>
      </c>
      <c r="C75" s="118">
        <v>3133777</v>
      </c>
      <c r="D75" s="118"/>
      <c r="E75" s="18">
        <f t="shared" ref="E75:E83" si="5">B75+C75</f>
        <v>12052052</v>
      </c>
      <c r="F75" s="59">
        <f>E75/'Pop &amp; CPI'!C78</f>
        <v>6380122.816304923</v>
      </c>
      <c r="G75" s="100">
        <f>F75/'Pop &amp; CPI'!B78</f>
        <v>2.6253240201845358</v>
      </c>
      <c r="H75" s="107">
        <v>12.8</v>
      </c>
      <c r="I75" s="114">
        <f t="shared" si="4"/>
        <v>29188563.4375</v>
      </c>
      <c r="J75" s="61" t="s">
        <v>27</v>
      </c>
    </row>
    <row r="76" spans="1:10">
      <c r="A76" s="55">
        <v>2006</v>
      </c>
      <c r="B76" s="42">
        <v>8720081</v>
      </c>
      <c r="C76" s="117">
        <v>3741888</v>
      </c>
      <c r="D76" s="117"/>
      <c r="E76" s="16">
        <f t="shared" si="5"/>
        <v>12461969</v>
      </c>
      <c r="F76" s="56">
        <f>E76/'Pop &amp; CPI'!C79</f>
        <v>6380936.5079365075</v>
      </c>
      <c r="G76" s="105">
        <f>F76/'Pop &amp; CPI'!B79</f>
        <v>2.5464231030980424</v>
      </c>
      <c r="H76" s="106">
        <v>12.8</v>
      </c>
      <c r="I76" s="113">
        <f t="shared" si="4"/>
        <v>30181331.171875</v>
      </c>
      <c r="J76" s="119"/>
    </row>
    <row r="77" spans="1:10">
      <c r="A77" s="55">
        <v>2007</v>
      </c>
      <c r="B77" s="42">
        <v>8587477</v>
      </c>
      <c r="C77" s="117">
        <v>4350000</v>
      </c>
      <c r="D77" s="117"/>
      <c r="E77" s="16">
        <f t="shared" si="5"/>
        <v>12937477</v>
      </c>
      <c r="F77" s="56">
        <f>E77/'Pop &amp; CPI'!C80</f>
        <v>6417399.305555556</v>
      </c>
      <c r="G77" s="105">
        <f>F77/'Pop &amp; CPI'!B80</f>
        <v>2.4910049943368993</v>
      </c>
      <c r="H77" s="106">
        <v>12.8</v>
      </c>
      <c r="I77" s="113">
        <f t="shared" si="4"/>
        <v>31332952.109375</v>
      </c>
      <c r="J77" s="119"/>
    </row>
    <row r="78" spans="1:10">
      <c r="A78" s="55">
        <v>2008</v>
      </c>
      <c r="B78" s="42">
        <v>9070330</v>
      </c>
      <c r="C78" s="117">
        <v>4984787</v>
      </c>
      <c r="D78" s="117"/>
      <c r="E78" s="16">
        <f t="shared" si="5"/>
        <v>14055117</v>
      </c>
      <c r="F78" s="56">
        <f>E78/'Pop &amp; CPI'!C81</f>
        <v>6778711.9831003845</v>
      </c>
      <c r="G78" s="105">
        <f>F78/'Pop &amp; CPI'!B81</f>
        <v>2.5715171165844617</v>
      </c>
      <c r="H78" s="106">
        <v>12.8</v>
      </c>
      <c r="I78" s="113">
        <f t="shared" si="4"/>
        <v>34039736.484375</v>
      </c>
      <c r="J78" s="119"/>
    </row>
    <row r="79" spans="1:10">
      <c r="A79" s="55">
        <v>2009</v>
      </c>
      <c r="B79" s="42">
        <v>8567379</v>
      </c>
      <c r="C79" s="117">
        <v>5425600</v>
      </c>
      <c r="D79" s="117"/>
      <c r="E79" s="16">
        <f t="shared" si="5"/>
        <v>13992979</v>
      </c>
      <c r="F79" s="56">
        <f>E79/'Pop &amp; CPI'!C82</f>
        <v>6499202.9837020393</v>
      </c>
      <c r="G79" s="105">
        <f>F79/'Pop &amp; CPI'!B82</f>
        <v>2.4150532691204782</v>
      </c>
      <c r="H79" s="106">
        <v>12.8</v>
      </c>
      <c r="I79" s="113">
        <f>(E79/H79)*31</f>
        <v>33889246.015625</v>
      </c>
      <c r="J79" s="119"/>
    </row>
    <row r="80" spans="1:10">
      <c r="A80" s="58">
        <v>2010</v>
      </c>
      <c r="B80" s="97">
        <v>7724653</v>
      </c>
      <c r="C80" s="120">
        <v>5622574</v>
      </c>
      <c r="D80" s="118"/>
      <c r="E80" s="18">
        <f t="shared" si="5"/>
        <v>13347227</v>
      </c>
      <c r="F80" s="59">
        <f>E80/'Pop &amp; CPI'!C83</f>
        <v>6221410.2928632349</v>
      </c>
      <c r="G80" s="100">
        <f>F80/'Pop &amp; CPI'!B83</f>
        <v>2.2776033815340813</v>
      </c>
      <c r="H80" s="107">
        <v>12.8</v>
      </c>
      <c r="I80" s="114">
        <f t="shared" si="4"/>
        <v>32325315.390625</v>
      </c>
      <c r="J80" s="108"/>
    </row>
    <row r="81" spans="1:10">
      <c r="A81" s="55">
        <v>2011</v>
      </c>
      <c r="B81" s="42">
        <v>7273601</v>
      </c>
      <c r="C81" s="41">
        <v>5597192</v>
      </c>
      <c r="D81" s="117"/>
      <c r="E81" s="16">
        <f t="shared" si="5"/>
        <v>12870793</v>
      </c>
      <c r="F81" s="56">
        <f>E81/'Pop &amp; CPI'!C84</f>
        <v>5902517.2432769556</v>
      </c>
      <c r="G81" s="105">
        <f>F81/'Pop &amp; CPI'!B84</f>
        <v>2.128823293531561</v>
      </c>
      <c r="H81" s="106">
        <v>12.8</v>
      </c>
      <c r="I81" s="113">
        <f t="shared" si="4"/>
        <v>31171451.796875</v>
      </c>
      <c r="J81" s="57"/>
    </row>
    <row r="82" spans="1:10">
      <c r="A82" s="121">
        <v>2012</v>
      </c>
      <c r="B82" s="41">
        <v>8425461</v>
      </c>
      <c r="C82" s="41">
        <v>5308891</v>
      </c>
      <c r="D82" s="117"/>
      <c r="E82" s="16">
        <f t="shared" si="5"/>
        <v>13734352</v>
      </c>
      <c r="F82" s="56">
        <f>E82/'Pop &amp; CPI'!C85</f>
        <v>6105811.7978651989</v>
      </c>
      <c r="G82" s="105">
        <f>F82/'Pop &amp; CPI'!B85</f>
        <v>2.1635772191134865</v>
      </c>
      <c r="H82" s="106">
        <v>12.8</v>
      </c>
      <c r="I82" s="113">
        <f t="shared" si="4"/>
        <v>33262883.75</v>
      </c>
      <c r="J82" s="57"/>
    </row>
    <row r="83" spans="1:10">
      <c r="A83" s="121">
        <v>2013</v>
      </c>
      <c r="B83" s="41">
        <v>8422487</v>
      </c>
      <c r="C83" s="41">
        <v>5118317</v>
      </c>
      <c r="D83" s="117"/>
      <c r="E83" s="16">
        <f t="shared" si="5"/>
        <v>13540804</v>
      </c>
      <c r="F83" s="56">
        <f>E83/'Pop &amp; CPI'!C86</f>
        <v>5897716.8392902259</v>
      </c>
      <c r="G83" s="105">
        <f>F83/'Pop &amp; CPI'!B86</f>
        <v>2.0568137648425964</v>
      </c>
      <c r="H83" s="106">
        <v>12.8</v>
      </c>
      <c r="I83" s="113">
        <f t="shared" si="4"/>
        <v>32794134.6875</v>
      </c>
      <c r="J83" s="57"/>
    </row>
    <row r="84" spans="1:10">
      <c r="A84" s="55">
        <v>2014</v>
      </c>
      <c r="B84" s="41">
        <v>8090896</v>
      </c>
      <c r="C84" s="42">
        <v>5463741</v>
      </c>
      <c r="D84" s="42"/>
      <c r="E84" s="20">
        <f t="shared" ref="E84" si="6">B84+C84</f>
        <v>13554637</v>
      </c>
      <c r="F84" s="56">
        <f>E84/'Pop &amp; CPI'!C87</f>
        <v>5818514.5756513011</v>
      </c>
      <c r="G84" s="105">
        <f>F84/'Pop &amp; CPI'!B87</f>
        <v>2.0022267471122555</v>
      </c>
      <c r="H84" s="106">
        <v>12.8</v>
      </c>
      <c r="I84" s="113">
        <f t="shared" si="4"/>
        <v>32827636.484375</v>
      </c>
      <c r="J84" s="45"/>
    </row>
    <row r="85" spans="1:10">
      <c r="A85" s="55">
        <v>2015</v>
      </c>
      <c r="B85" s="41">
        <v>8204614</v>
      </c>
      <c r="C85" s="42">
        <v>5386322</v>
      </c>
      <c r="D85" s="42"/>
      <c r="E85" s="20">
        <f t="shared" ref="E85:E90" si="7">B85+C85</f>
        <v>13590936</v>
      </c>
      <c r="F85" s="56">
        <f>E85/'Pop &amp; CPI'!C88</f>
        <v>5740967.1532846726</v>
      </c>
      <c r="G85" s="105">
        <f>F85/'Pop &amp; CPI'!B88</f>
        <v>1.9480787894589746</v>
      </c>
      <c r="H85" s="106">
        <v>12.8</v>
      </c>
      <c r="I85" s="113">
        <f t="shared" ref="I85:I89" si="8">(E85/H85)*31</f>
        <v>32915548.125</v>
      </c>
      <c r="J85" s="57"/>
    </row>
    <row r="86" spans="1:10">
      <c r="A86" s="68">
        <v>2016</v>
      </c>
      <c r="B86" s="170">
        <v>8676460</v>
      </c>
      <c r="C86" s="170">
        <v>5391855</v>
      </c>
      <c r="D86" s="170"/>
      <c r="E86" s="137">
        <f t="shared" si="7"/>
        <v>14068315</v>
      </c>
      <c r="F86" s="53">
        <f>E86/'Pop &amp; CPI'!C89</f>
        <v>5935572.1319567794</v>
      </c>
      <c r="G86" s="132">
        <f>F86/'Pop &amp; CPI'!B89</f>
        <v>1.976026609820994</v>
      </c>
      <c r="H86" s="135">
        <v>12.8</v>
      </c>
      <c r="I86" s="159">
        <f t="shared" si="8"/>
        <v>34071700.390625</v>
      </c>
      <c r="J86" s="160"/>
    </row>
    <row r="87" spans="1:10">
      <c r="A87" s="55">
        <v>2017</v>
      </c>
      <c r="B87" s="41">
        <v>9308708</v>
      </c>
      <c r="C87" s="41">
        <v>5406400</v>
      </c>
      <c r="D87" s="41"/>
      <c r="E87" s="20">
        <f t="shared" si="7"/>
        <v>14715108</v>
      </c>
      <c r="F87" s="56">
        <f>E87/'Pop &amp; CPI'!C90</f>
        <v>6131103.4030186562</v>
      </c>
      <c r="G87" s="105">
        <f>F87/'Pop &amp; CPI'!B90</f>
        <v>2.0020687813868725</v>
      </c>
      <c r="H87" s="129">
        <v>12.8</v>
      </c>
      <c r="I87" s="113">
        <f t="shared" si="8"/>
        <v>35638152.1875</v>
      </c>
      <c r="J87" s="57"/>
    </row>
    <row r="88" spans="1:10">
      <c r="A88" s="55">
        <v>2018</v>
      </c>
      <c r="B88" s="41">
        <v>8420670</v>
      </c>
      <c r="C88" s="41">
        <v>5597400</v>
      </c>
      <c r="D88" s="41"/>
      <c r="E88" s="20">
        <f t="shared" si="7"/>
        <v>14018070</v>
      </c>
      <c r="F88" s="56">
        <f>E88/'Pop &amp; CPI'!C91</f>
        <v>5718871.815583827</v>
      </c>
      <c r="G88" s="105">
        <f>F88/'Pop &amp; CPI'!B91</f>
        <v>1.8315174404733328</v>
      </c>
      <c r="H88" s="129">
        <v>12.8</v>
      </c>
      <c r="I88" s="113">
        <f t="shared" si="8"/>
        <v>33950013.28125</v>
      </c>
      <c r="J88" s="57"/>
    </row>
    <row r="89" spans="1:10">
      <c r="A89" s="55">
        <v>2019</v>
      </c>
      <c r="B89" s="41">
        <v>8347212</v>
      </c>
      <c r="C89" s="41">
        <v>5856100</v>
      </c>
      <c r="D89" s="41"/>
      <c r="E89" s="20">
        <f t="shared" si="7"/>
        <v>14203312</v>
      </c>
      <c r="F89" s="56">
        <f>E89/'Pop &amp; CPI'!C92</f>
        <v>5656278.7974847369</v>
      </c>
      <c r="G89" s="105">
        <f>F89/'Pop &amp; CPI'!B92</f>
        <v>1.780752561794432</v>
      </c>
      <c r="H89" s="129">
        <v>12.8</v>
      </c>
      <c r="I89" s="113">
        <f t="shared" si="8"/>
        <v>34398646.25</v>
      </c>
      <c r="J89" s="57"/>
    </row>
    <row r="90" spans="1:10">
      <c r="A90" s="55">
        <v>2020</v>
      </c>
      <c r="B90" s="41">
        <v>10410092.32</v>
      </c>
      <c r="C90" s="41">
        <v>5577300</v>
      </c>
      <c r="D90" s="41"/>
      <c r="E90" s="20">
        <f t="shared" si="7"/>
        <v>15987392.32</v>
      </c>
      <c r="F90" s="56">
        <f>E90/'Pop &amp; CPI'!C93</f>
        <v>6253441.5458181342</v>
      </c>
      <c r="G90" s="105">
        <f>F90/'Pop &amp; CPI'!B93</f>
        <v>1.9353859910411337</v>
      </c>
      <c r="H90" s="343">
        <v>12.97</v>
      </c>
      <c r="I90" s="113">
        <f>(E90/H90)*31</f>
        <v>38211963.139552817</v>
      </c>
      <c r="J90" s="57" t="s">
        <v>137</v>
      </c>
    </row>
    <row r="91" spans="1:10">
      <c r="A91" s="68">
        <v>2021</v>
      </c>
      <c r="B91" s="170">
        <v>11855701.83</v>
      </c>
      <c r="C91" s="170">
        <v>6024405.75</v>
      </c>
      <c r="D91" s="170"/>
      <c r="E91" s="137">
        <f>B91+C91+D91</f>
        <v>17880107.579999998</v>
      </c>
      <c r="F91" s="53">
        <f>E91/'Pop &amp; CPI'!C94</f>
        <v>6908557.8201853847</v>
      </c>
      <c r="G91" s="132">
        <f>F91/'Pop &amp; CPI'!B94</f>
        <v>2.1031750630659198</v>
      </c>
      <c r="H91" s="135">
        <v>13.1</v>
      </c>
      <c r="I91" s="159">
        <f>(E91/H91)*31</f>
        <v>42311704.960305341</v>
      </c>
      <c r="J91" s="160"/>
    </row>
    <row r="92" spans="1:10">
      <c r="A92" s="55">
        <v>2022</v>
      </c>
      <c r="B92" s="41">
        <v>11598295.98</v>
      </c>
      <c r="C92" s="41">
        <v>6796085.4000000004</v>
      </c>
      <c r="D92" s="41"/>
      <c r="E92" s="20">
        <f t="shared" ref="E92:E95" si="9">B92+C92+D92</f>
        <v>18394381.380000003</v>
      </c>
      <c r="F92" s="56">
        <f>E92/'Pop &amp; CPI'!C95</f>
        <v>6788358.6086256951</v>
      </c>
      <c r="G92" s="105">
        <f>F92/'Pop &amp; CPI'!B95</f>
        <v>2.0308965642065711</v>
      </c>
      <c r="H92" s="129">
        <v>13.1</v>
      </c>
      <c r="I92" s="113">
        <f t="shared" ref="I92:I94" si="10">(E92/H92)*31</f>
        <v>43528688.761832073</v>
      </c>
      <c r="J92" s="57"/>
    </row>
    <row r="93" spans="1:10">
      <c r="A93" s="55">
        <v>2023</v>
      </c>
      <c r="B93" s="41">
        <v>10994661</v>
      </c>
      <c r="C93" s="41">
        <v>7560764</v>
      </c>
      <c r="D93" s="41"/>
      <c r="E93" s="20">
        <f t="shared" si="9"/>
        <v>18555425</v>
      </c>
      <c r="F93" s="56">
        <f>E93/'Pop &amp; CPI'!C96</f>
        <v>6340375.1857989784</v>
      </c>
      <c r="G93" s="105">
        <f>F93/'Pop &amp; CPI'!B96</f>
        <v>1.864545704494271</v>
      </c>
      <c r="H93" s="129">
        <v>13.1</v>
      </c>
      <c r="I93" s="113">
        <f t="shared" si="10"/>
        <v>43909784.351145037</v>
      </c>
      <c r="J93" s="57"/>
    </row>
    <row r="94" spans="1:10">
      <c r="A94" s="55">
        <v>2024</v>
      </c>
      <c r="B94" s="41">
        <v>9037450.6099999994</v>
      </c>
      <c r="C94" s="41">
        <v>9587632.4000000004</v>
      </c>
      <c r="D94" s="41"/>
      <c r="E94" s="20">
        <f t="shared" si="9"/>
        <v>18625083.009999998</v>
      </c>
      <c r="F94" s="56">
        <f>E94/'Pop &amp; CPI'!C97</f>
        <v>6112556.8621144593</v>
      </c>
      <c r="G94" s="105">
        <f>F94/'Pop &amp; CPI'!B97</f>
        <v>1.7684327586671744</v>
      </c>
      <c r="H94" s="129">
        <v>13.1</v>
      </c>
      <c r="I94" s="113">
        <f t="shared" si="10"/>
        <v>44074623.91679389</v>
      </c>
      <c r="J94" s="57"/>
    </row>
    <row r="95" spans="1:10" ht="13.5" thickBot="1">
      <c r="A95" s="55">
        <v>2025</v>
      </c>
      <c r="B95" s="41">
        <v>8627381.5000000019</v>
      </c>
      <c r="C95" s="325">
        <v>9672130.6900000013</v>
      </c>
      <c r="D95" s="325">
        <v>334473.40999999997</v>
      </c>
      <c r="E95" s="315">
        <f t="shared" si="9"/>
        <v>18633985.600000005</v>
      </c>
      <c r="F95" s="317">
        <f>E95/'Pop &amp; CPI'!C98</f>
        <v>5940273.8381007966</v>
      </c>
      <c r="G95" s="320">
        <f>F95/'Pop &amp; CPI'!B98</f>
        <v>1.6939116771578262</v>
      </c>
      <c r="H95" s="343">
        <v>13.329166666666666</v>
      </c>
      <c r="I95" s="326">
        <f>(E95/H95)*31</f>
        <v>43337559.507346056</v>
      </c>
      <c r="J95" s="327" t="s">
        <v>149</v>
      </c>
    </row>
    <row r="96" spans="1:10" ht="6" customHeight="1">
      <c r="A96" s="248"/>
      <c r="B96" s="249"/>
      <c r="C96" s="249"/>
      <c r="D96" s="249"/>
      <c r="E96" s="250"/>
      <c r="F96" s="251"/>
      <c r="G96" s="252"/>
      <c r="H96" s="253"/>
      <c r="I96" s="254"/>
      <c r="J96" s="255"/>
    </row>
    <row r="97" spans="1:10" s="47" customFormat="1" ht="13.15" customHeight="1">
      <c r="A97" s="430" t="s">
        <v>28</v>
      </c>
      <c r="B97" s="431"/>
      <c r="C97" s="431"/>
      <c r="D97" s="431"/>
      <c r="E97" s="431"/>
      <c r="F97" s="431"/>
      <c r="G97" s="431"/>
      <c r="H97" s="431"/>
      <c r="I97" s="431"/>
      <c r="J97" s="432"/>
    </row>
    <row r="98" spans="1:10" s="47" customFormat="1" ht="13.15" customHeight="1">
      <c r="A98" s="453" t="s">
        <v>5</v>
      </c>
      <c r="B98" s="454"/>
      <c r="C98" s="454"/>
      <c r="D98" s="454"/>
      <c r="E98" s="454"/>
      <c r="F98" s="454"/>
      <c r="G98" s="454"/>
      <c r="H98" s="454"/>
      <c r="I98" s="454"/>
      <c r="J98" s="455"/>
    </row>
    <row r="99" spans="1:10" s="47" customFormat="1" ht="13.15" customHeight="1">
      <c r="A99" s="430" t="s">
        <v>8</v>
      </c>
      <c r="B99" s="431"/>
      <c r="C99" s="431"/>
      <c r="D99" s="431"/>
      <c r="E99" s="431"/>
      <c r="F99" s="431"/>
      <c r="G99" s="431"/>
      <c r="H99" s="431"/>
      <c r="I99" s="431"/>
      <c r="J99" s="432"/>
    </row>
    <row r="100" spans="1:10" s="47" customFormat="1" ht="13.15" customHeight="1" thickBot="1">
      <c r="A100" s="448" t="s">
        <v>60</v>
      </c>
      <c r="B100" s="449"/>
      <c r="C100" s="449"/>
      <c r="D100" s="449"/>
      <c r="E100" s="449"/>
      <c r="F100" s="449"/>
      <c r="G100" s="449"/>
      <c r="H100" s="449"/>
      <c r="I100" s="449"/>
      <c r="J100" s="450"/>
    </row>
    <row r="101" spans="1:10">
      <c r="A101" s="44"/>
      <c r="B101" s="44"/>
      <c r="C101" s="44"/>
      <c r="D101" s="44"/>
    </row>
  </sheetData>
  <mergeCells count="6">
    <mergeCell ref="A100:J100"/>
    <mergeCell ref="A1:J1"/>
    <mergeCell ref="A2:J2"/>
    <mergeCell ref="A97:J97"/>
    <mergeCell ref="A98:J98"/>
    <mergeCell ref="A99:J99"/>
  </mergeCells>
  <phoneticPr fontId="0" type="noConversion"/>
  <pageMargins left="0.75" right="0.75" top="1" bottom="1" header="0.5" footer="0.5"/>
  <pageSetup scale="80" orientation="portrait" horizontalDpi="4294967292" vertic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showGridLines="0" zoomScaleNormal="100" workbookViewId="0"/>
  </sheetViews>
  <sheetFormatPr defaultRowHeight="12.7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01"/>
  <sheetViews>
    <sheetView showGridLines="0" zoomScaleNormal="100" workbookViewId="0">
      <pane ySplit="4" topLeftCell="A67" activePane="bottomLeft" state="frozen"/>
      <selection pane="bottomLeft" sqref="A1:Q1"/>
    </sheetView>
  </sheetViews>
  <sheetFormatPr defaultColWidth="9.140625" defaultRowHeight="11.25"/>
  <cols>
    <col min="1" max="1" width="7.140625" style="43" customWidth="1"/>
    <col min="2" max="2" width="11.5703125" style="43" bestFit="1" customWidth="1"/>
    <col min="3" max="9" width="11.42578125" style="48" customWidth="1"/>
    <col min="10" max="10" width="11.28515625" style="48" customWidth="1"/>
    <col min="11" max="11" width="8.42578125" style="48" bestFit="1" customWidth="1"/>
    <col min="12" max="12" width="9.140625" style="43" bestFit="1" customWidth="1"/>
    <col min="13" max="13" width="7.85546875" style="43" bestFit="1" customWidth="1"/>
    <col min="14" max="14" width="11.42578125" style="49" bestFit="1" customWidth="1"/>
    <col min="15" max="15" width="9.42578125" style="43" bestFit="1" customWidth="1"/>
    <col min="16" max="16" width="7.42578125" style="43" bestFit="1" customWidth="1"/>
    <col min="17" max="17" width="35.5703125" style="43" customWidth="1"/>
    <col min="18" max="20" width="9.140625" style="43"/>
    <col min="21" max="21" width="9.28515625" style="43" bestFit="1" customWidth="1"/>
    <col min="22" max="24" width="9.140625" style="43"/>
    <col min="25" max="25" width="10.28515625" style="43" customWidth="1"/>
    <col min="26" max="26" width="14" style="43" customWidth="1"/>
    <col min="27" max="34" width="9.140625" style="43"/>
    <col min="35" max="35" width="12" style="43" customWidth="1"/>
    <col min="36" max="36" width="6.28515625" style="43" customWidth="1"/>
    <col min="37" max="16384" width="9.140625" style="43"/>
  </cols>
  <sheetData>
    <row r="1" spans="1:17" ht="18.75">
      <c r="A1" s="461" t="s">
        <v>68</v>
      </c>
      <c r="B1" s="461"/>
      <c r="C1" s="461"/>
      <c r="D1" s="461"/>
      <c r="E1" s="461"/>
      <c r="F1" s="461"/>
      <c r="G1" s="461"/>
      <c r="H1" s="461"/>
      <c r="I1" s="461"/>
      <c r="J1" s="461"/>
      <c r="K1" s="461"/>
      <c r="L1" s="461"/>
      <c r="M1" s="461"/>
      <c r="N1" s="461"/>
      <c r="O1" s="461"/>
      <c r="P1" s="461"/>
      <c r="Q1" s="461"/>
    </row>
    <row r="2" spans="1:17" ht="5.25" customHeight="1" thickBot="1">
      <c r="A2" s="180"/>
      <c r="B2" s="50"/>
      <c r="C2" s="51"/>
      <c r="D2" s="51"/>
      <c r="E2" s="51"/>
      <c r="F2" s="51"/>
      <c r="G2" s="51"/>
      <c r="H2" s="51"/>
      <c r="I2" s="51"/>
      <c r="J2" s="51"/>
      <c r="K2" s="51"/>
      <c r="L2" s="50"/>
      <c r="M2" s="50"/>
      <c r="N2" s="52"/>
      <c r="O2" s="50"/>
      <c r="P2" s="50"/>
      <c r="Q2" s="50"/>
    </row>
    <row r="3" spans="1:17" ht="12.75" customHeight="1">
      <c r="A3" s="436" t="s">
        <v>32</v>
      </c>
      <c r="B3" s="437" t="s">
        <v>135</v>
      </c>
      <c r="C3" s="446" t="s">
        <v>61</v>
      </c>
      <c r="D3" s="446" t="s">
        <v>62</v>
      </c>
      <c r="E3" s="446" t="s">
        <v>134</v>
      </c>
      <c r="F3" s="446" t="s">
        <v>133</v>
      </c>
      <c r="G3" s="446" t="s">
        <v>67</v>
      </c>
      <c r="H3" s="446" t="s">
        <v>97</v>
      </c>
      <c r="I3" s="446" t="s">
        <v>136</v>
      </c>
      <c r="J3" s="446" t="s">
        <v>33</v>
      </c>
      <c r="K3" s="446" t="s">
        <v>34</v>
      </c>
      <c r="L3" s="462" t="s">
        <v>138</v>
      </c>
      <c r="M3" s="462"/>
      <c r="N3" s="462"/>
      <c r="O3" s="462"/>
      <c r="P3" s="462"/>
      <c r="Q3" s="464" t="s">
        <v>3</v>
      </c>
    </row>
    <row r="4" spans="1:17" ht="90" thickBot="1">
      <c r="A4" s="441"/>
      <c r="B4" s="463"/>
      <c r="C4" s="447"/>
      <c r="D4" s="447"/>
      <c r="E4" s="447"/>
      <c r="F4" s="447"/>
      <c r="G4" s="447"/>
      <c r="H4" s="447"/>
      <c r="I4" s="447"/>
      <c r="J4" s="447"/>
      <c r="K4" s="447"/>
      <c r="L4" s="175" t="s">
        <v>63</v>
      </c>
      <c r="M4" s="175" t="s">
        <v>64</v>
      </c>
      <c r="N4" s="175" t="s">
        <v>98</v>
      </c>
      <c r="O4" s="175" t="s">
        <v>65</v>
      </c>
      <c r="P4" s="175" t="s">
        <v>66</v>
      </c>
      <c r="Q4" s="465"/>
    </row>
    <row r="5" spans="1:17" ht="12.75">
      <c r="A5" s="256">
        <v>1933</v>
      </c>
      <c r="B5" s="257" t="s">
        <v>96</v>
      </c>
      <c r="C5" s="257"/>
      <c r="D5" s="257" t="s">
        <v>96</v>
      </c>
      <c r="E5" s="257"/>
      <c r="F5" s="257"/>
      <c r="G5" s="257"/>
      <c r="H5" s="371"/>
      <c r="I5" s="371">
        <v>176128</v>
      </c>
      <c r="J5" s="383">
        <f>I5/'Pop &amp; CPI'!C6</f>
        <v>1285605.8394160585</v>
      </c>
      <c r="K5" s="384">
        <f>J5/'Pop &amp; CPI'!B6</f>
        <v>2.4963220182836086</v>
      </c>
      <c r="L5" s="258">
        <v>1.5</v>
      </c>
      <c r="M5" s="339"/>
      <c r="N5" s="339"/>
      <c r="O5" s="339"/>
      <c r="P5" s="339"/>
      <c r="Q5" s="340"/>
    </row>
    <row r="6" spans="1:17" ht="12.75">
      <c r="A6" s="146">
        <v>1934</v>
      </c>
      <c r="B6" s="372">
        <v>164909</v>
      </c>
      <c r="C6" s="145"/>
      <c r="D6" s="374">
        <v>6848</v>
      </c>
      <c r="E6" s="145"/>
      <c r="F6" s="145"/>
      <c r="G6" s="145"/>
      <c r="H6" s="378"/>
      <c r="I6" s="378">
        <f t="shared" ref="I6:I37" si="0">H6+D6+C6+G6+F6+B6+E6</f>
        <v>171757</v>
      </c>
      <c r="J6" s="365">
        <f>I6/'Pop &amp; CPI'!C7</f>
        <v>1321207.6923076923</v>
      </c>
      <c r="K6" s="385">
        <f>J6/'Pop &amp; CPI'!B7</f>
        <v>2.5456795612864975</v>
      </c>
      <c r="L6" s="147">
        <v>1.5</v>
      </c>
      <c r="M6" s="143"/>
      <c r="N6" s="143"/>
      <c r="O6" s="143"/>
      <c r="P6" s="143"/>
      <c r="Q6" s="144"/>
    </row>
    <row r="7" spans="1:17" ht="12.75" customHeight="1">
      <c r="A7" s="150">
        <v>1935</v>
      </c>
      <c r="B7" s="373">
        <v>180680</v>
      </c>
      <c r="C7" s="148"/>
      <c r="D7" s="375">
        <v>9541</v>
      </c>
      <c r="E7" s="148"/>
      <c r="F7" s="148"/>
      <c r="G7" s="148"/>
      <c r="H7" s="379"/>
      <c r="I7" s="379">
        <f t="shared" si="0"/>
        <v>190221</v>
      </c>
      <c r="J7" s="366">
        <f>I7/'Pop &amp; CPI'!C8</f>
        <v>1419559.7014925373</v>
      </c>
      <c r="K7" s="386">
        <f>J7/'Pop &amp; CPI'!B8</f>
        <v>2.7194630296791904</v>
      </c>
      <c r="L7" s="151">
        <v>1.5</v>
      </c>
      <c r="M7" s="152"/>
      <c r="N7" s="152"/>
      <c r="O7" s="152"/>
      <c r="P7" s="152"/>
      <c r="Q7" s="154" t="s">
        <v>95</v>
      </c>
    </row>
    <row r="8" spans="1:17" ht="12.75">
      <c r="A8" s="146">
        <v>1936</v>
      </c>
      <c r="B8" s="372">
        <v>288334</v>
      </c>
      <c r="C8" s="145"/>
      <c r="D8" s="374">
        <v>9757</v>
      </c>
      <c r="E8" s="145"/>
      <c r="F8" s="145"/>
      <c r="G8" s="145"/>
      <c r="H8" s="378"/>
      <c r="I8" s="378">
        <f t="shared" si="0"/>
        <v>298091</v>
      </c>
      <c r="J8" s="365">
        <f>I8/'Pop &amp; CPI'!C9</f>
        <v>2175846.7153284675</v>
      </c>
      <c r="K8" s="385">
        <f>J8/'Pop &amp; CPI'!B9</f>
        <v>4.1523792277260831</v>
      </c>
      <c r="L8" s="147">
        <v>2.25</v>
      </c>
      <c r="M8" s="143"/>
      <c r="N8" s="143"/>
      <c r="O8" s="143"/>
      <c r="P8" s="143"/>
      <c r="Q8" s="149" t="s">
        <v>17</v>
      </c>
    </row>
    <row r="9" spans="1:17" ht="12.75">
      <c r="A9" s="146">
        <v>1937</v>
      </c>
      <c r="B9" s="372">
        <v>291101</v>
      </c>
      <c r="C9" s="145"/>
      <c r="D9" s="374">
        <v>13178</v>
      </c>
      <c r="E9" s="145"/>
      <c r="F9" s="145"/>
      <c r="G9" s="145"/>
      <c r="H9" s="378"/>
      <c r="I9" s="378">
        <f t="shared" si="0"/>
        <v>304279</v>
      </c>
      <c r="J9" s="365">
        <f>I9/'Pop &amp; CPI'!C10</f>
        <v>2189057.5539568341</v>
      </c>
      <c r="K9" s="385">
        <f>J9/'Pop &amp; CPI'!B10</f>
        <v>4.1538094002975976</v>
      </c>
      <c r="L9" s="147">
        <v>2.25</v>
      </c>
      <c r="M9" s="143"/>
      <c r="N9" s="143"/>
      <c r="O9" s="143"/>
      <c r="P9" s="143"/>
      <c r="Q9" s="173"/>
    </row>
    <row r="10" spans="1:17" ht="12.75">
      <c r="A10" s="146">
        <v>1938</v>
      </c>
      <c r="B10" s="372">
        <v>315611</v>
      </c>
      <c r="C10" s="145"/>
      <c r="D10" s="374">
        <v>34407</v>
      </c>
      <c r="E10" s="145"/>
      <c r="F10" s="145"/>
      <c r="G10" s="145"/>
      <c r="H10" s="378"/>
      <c r="I10" s="378">
        <f t="shared" si="0"/>
        <v>350018</v>
      </c>
      <c r="J10" s="365">
        <f>I10/'Pop &amp; CPI'!C11</f>
        <v>2430680.555555555</v>
      </c>
      <c r="K10" s="385">
        <f>J10/'Pop &amp; CPI'!B11</f>
        <v>4.6035616582491574</v>
      </c>
      <c r="L10" s="147">
        <v>2.25</v>
      </c>
      <c r="M10" s="143"/>
      <c r="N10" s="143"/>
      <c r="O10" s="143"/>
      <c r="P10" s="143"/>
      <c r="Q10" s="155" t="s">
        <v>109</v>
      </c>
    </row>
    <row r="11" spans="1:17" ht="12.75">
      <c r="A11" s="146">
        <v>1939</v>
      </c>
      <c r="B11" s="372">
        <v>373461</v>
      </c>
      <c r="C11" s="145"/>
      <c r="D11" s="374">
        <v>40460</v>
      </c>
      <c r="E11" s="145"/>
      <c r="F11" s="145"/>
      <c r="G11" s="145"/>
      <c r="H11" s="378"/>
      <c r="I11" s="378">
        <f t="shared" si="0"/>
        <v>413921</v>
      </c>
      <c r="J11" s="365">
        <f>I11/'Pop &amp; CPI'!C12</f>
        <v>2935609.9290780146</v>
      </c>
      <c r="K11" s="385">
        <f>J11/'Pop &amp; CPI'!B12</f>
        <v>5.4062797957237834</v>
      </c>
      <c r="L11" s="147">
        <v>2.25</v>
      </c>
      <c r="M11" s="143"/>
      <c r="N11" s="143"/>
      <c r="O11" s="143"/>
      <c r="P11" s="143"/>
      <c r="Q11" s="155" t="s">
        <v>111</v>
      </c>
    </row>
    <row r="12" spans="1:17" ht="12.75">
      <c r="A12" s="150">
        <v>1940</v>
      </c>
      <c r="B12" s="373">
        <v>324621</v>
      </c>
      <c r="C12" s="148"/>
      <c r="D12" s="375">
        <v>34589</v>
      </c>
      <c r="E12" s="148"/>
      <c r="F12" s="148"/>
      <c r="G12" s="148"/>
      <c r="H12" s="379"/>
      <c r="I12" s="379">
        <f t="shared" si="0"/>
        <v>359210</v>
      </c>
      <c r="J12" s="366">
        <f>I12/'Pop &amp; CPI'!C13</f>
        <v>2584244.6043165466</v>
      </c>
      <c r="K12" s="386">
        <f>J12/'Pop &amp; CPI'!B13</f>
        <v>4.7591981663288152</v>
      </c>
      <c r="L12" s="151">
        <v>2.25</v>
      </c>
      <c r="M12" s="152"/>
      <c r="N12" s="152"/>
      <c r="O12" s="152"/>
      <c r="P12" s="152"/>
      <c r="Q12" s="153"/>
    </row>
    <row r="13" spans="1:17" ht="12.75">
      <c r="A13" s="146">
        <v>1941</v>
      </c>
      <c r="B13" s="372">
        <v>342210</v>
      </c>
      <c r="C13" s="145"/>
      <c r="D13" s="374">
        <v>38962.707999999999</v>
      </c>
      <c r="E13" s="145"/>
      <c r="F13" s="145"/>
      <c r="G13" s="145"/>
      <c r="H13" s="378"/>
      <c r="I13" s="378">
        <f t="shared" si="0"/>
        <v>381172.70799999998</v>
      </c>
      <c r="J13" s="365">
        <f>I13/'Pop &amp; CPI'!C14</f>
        <v>2722662.1999999997</v>
      </c>
      <c r="K13" s="385">
        <f>J13/'Pop &amp; CPI'!B14</f>
        <v>4.9341467923160565</v>
      </c>
      <c r="L13" s="147">
        <v>2.25</v>
      </c>
      <c r="M13" s="143"/>
      <c r="N13" s="143"/>
      <c r="O13" s="143"/>
      <c r="P13" s="143"/>
      <c r="Q13" s="144"/>
    </row>
    <row r="14" spans="1:17" ht="12.75">
      <c r="A14" s="146">
        <v>1942</v>
      </c>
      <c r="B14" s="372">
        <v>371798</v>
      </c>
      <c r="C14" s="145"/>
      <c r="D14" s="374">
        <v>40520.035000000003</v>
      </c>
      <c r="E14" s="145"/>
      <c r="F14" s="145"/>
      <c r="G14" s="145"/>
      <c r="H14" s="378"/>
      <c r="I14" s="378">
        <f t="shared" si="0"/>
        <v>412318.03500000003</v>
      </c>
      <c r="J14" s="365">
        <f>I14/'Pop &amp; CPI'!C15</f>
        <v>2804884.5918367351</v>
      </c>
      <c r="K14" s="385">
        <f>J14/'Pop &amp; CPI'!B15</f>
        <v>5.0905346494314614</v>
      </c>
      <c r="L14" s="147">
        <v>2.25</v>
      </c>
      <c r="M14" s="143"/>
      <c r="N14" s="143"/>
      <c r="O14" s="143"/>
      <c r="P14" s="143"/>
      <c r="Q14" s="144"/>
    </row>
    <row r="15" spans="1:17" ht="12.75">
      <c r="A15" s="146">
        <v>1943</v>
      </c>
      <c r="B15" s="372">
        <v>489625.28</v>
      </c>
      <c r="C15" s="145"/>
      <c r="D15" s="374">
        <v>40670.120000000003</v>
      </c>
      <c r="E15" s="145"/>
      <c r="F15" s="145"/>
      <c r="G15" s="145"/>
      <c r="H15" s="378"/>
      <c r="I15" s="378">
        <f t="shared" si="0"/>
        <v>530295.4</v>
      </c>
      <c r="J15" s="365">
        <f>I15/'Pop &amp; CPI'!C16</f>
        <v>3253346.0122699388</v>
      </c>
      <c r="K15" s="385">
        <f>J15/'Pop &amp; CPI'!B16</f>
        <v>5.6956337749823858</v>
      </c>
      <c r="L15" s="147">
        <v>2.25</v>
      </c>
      <c r="M15" s="143"/>
      <c r="N15" s="143"/>
      <c r="O15" s="143"/>
      <c r="P15" s="143"/>
      <c r="Q15" s="144"/>
    </row>
    <row r="16" spans="1:17" ht="12.75">
      <c r="A16" s="146">
        <v>1944</v>
      </c>
      <c r="B16" s="372">
        <v>539608</v>
      </c>
      <c r="C16" s="145"/>
      <c r="D16" s="374">
        <v>51812</v>
      </c>
      <c r="E16" s="145"/>
      <c r="F16" s="145"/>
      <c r="G16" s="145"/>
      <c r="H16" s="378"/>
      <c r="I16" s="378">
        <f t="shared" si="0"/>
        <v>591420</v>
      </c>
      <c r="J16" s="365">
        <f>I16/'Pop &amp; CPI'!C17</f>
        <v>3418612.7167630056</v>
      </c>
      <c r="K16" s="385">
        <f>J16/'Pop &amp; CPI'!B17</f>
        <v>5.3415823699421958</v>
      </c>
      <c r="L16" s="147">
        <v>2.25</v>
      </c>
      <c r="M16" s="143"/>
      <c r="N16" s="143"/>
      <c r="O16" s="143"/>
      <c r="P16" s="143"/>
      <c r="Q16" s="144"/>
    </row>
    <row r="17" spans="1:17" ht="12.75">
      <c r="A17" s="150">
        <v>1945</v>
      </c>
      <c r="B17" s="373">
        <v>524900</v>
      </c>
      <c r="C17" s="148"/>
      <c r="D17" s="375">
        <v>51340.563999999998</v>
      </c>
      <c r="E17" s="148"/>
      <c r="F17" s="148"/>
      <c r="G17" s="148"/>
      <c r="H17" s="379"/>
      <c r="I17" s="379">
        <f t="shared" si="0"/>
        <v>576240.56400000001</v>
      </c>
      <c r="J17" s="366">
        <f>I17/'Pop &amp; CPI'!C18</f>
        <v>3274094.1136363633</v>
      </c>
      <c r="K17" s="386">
        <f>J17/'Pop &amp; CPI'!B18</f>
        <v>5.4144106393854194</v>
      </c>
      <c r="L17" s="151">
        <v>2.25</v>
      </c>
      <c r="M17" s="152"/>
      <c r="N17" s="152"/>
      <c r="O17" s="152"/>
      <c r="P17" s="152"/>
      <c r="Q17" s="153"/>
    </row>
    <row r="18" spans="1:17" ht="12.75">
      <c r="A18" s="146">
        <v>1946</v>
      </c>
      <c r="B18" s="372">
        <v>603855</v>
      </c>
      <c r="C18" s="145"/>
      <c r="D18" s="374">
        <v>55210</v>
      </c>
      <c r="E18" s="145"/>
      <c r="F18" s="145"/>
      <c r="G18" s="145"/>
      <c r="H18" s="378"/>
      <c r="I18" s="378">
        <f t="shared" si="0"/>
        <v>659065</v>
      </c>
      <c r="J18" s="365">
        <f>I18/'Pop &amp; CPI'!C19</f>
        <v>3661472.2222222225</v>
      </c>
      <c r="K18" s="385">
        <f>J18/'Pop &amp; CPI'!B19</f>
        <v>6.2153661894792434</v>
      </c>
      <c r="L18" s="147">
        <v>2.25</v>
      </c>
      <c r="M18" s="143"/>
      <c r="N18" s="143"/>
      <c r="O18" s="143"/>
      <c r="P18" s="143"/>
      <c r="Q18" s="144"/>
    </row>
    <row r="19" spans="1:17" ht="12.75">
      <c r="A19" s="146">
        <v>1947</v>
      </c>
      <c r="B19" s="372">
        <v>629301</v>
      </c>
      <c r="C19" s="145"/>
      <c r="D19" s="374">
        <v>70473.907999999996</v>
      </c>
      <c r="E19" s="145"/>
      <c r="F19" s="145"/>
      <c r="G19" s="145"/>
      <c r="H19" s="378"/>
      <c r="I19" s="378">
        <f t="shared" si="0"/>
        <v>699774.90800000005</v>
      </c>
      <c r="J19" s="365">
        <f>I19/'Pop &amp; CPI'!C20</f>
        <v>3588589.2717948719</v>
      </c>
      <c r="K19" s="385">
        <f>J19/'Pop &amp; CPI'!B20</f>
        <v>5.6247480749135921</v>
      </c>
      <c r="L19" s="147">
        <v>2.25</v>
      </c>
      <c r="M19" s="143"/>
      <c r="N19" s="143"/>
      <c r="O19" s="143"/>
      <c r="P19" s="143"/>
      <c r="Q19" s="144"/>
    </row>
    <row r="20" spans="1:17" ht="12.75">
      <c r="A20" s="146">
        <v>1948</v>
      </c>
      <c r="B20" s="372">
        <v>815065</v>
      </c>
      <c r="C20" s="145"/>
      <c r="D20" s="374">
        <v>81121</v>
      </c>
      <c r="E20" s="145"/>
      <c r="F20" s="145"/>
      <c r="G20" s="145"/>
      <c r="H20" s="378"/>
      <c r="I20" s="378">
        <f t="shared" si="0"/>
        <v>896186</v>
      </c>
      <c r="J20" s="365">
        <f>I20/'Pop &amp; CPI'!C21</f>
        <v>4018771.3004484302</v>
      </c>
      <c r="K20" s="385">
        <f>J20/'Pop &amp; CPI'!B21</f>
        <v>6.3188227994472177</v>
      </c>
      <c r="L20" s="147">
        <v>2.25</v>
      </c>
      <c r="M20" s="143"/>
      <c r="N20" s="143"/>
      <c r="O20" s="143"/>
      <c r="P20" s="143"/>
      <c r="Q20" s="144"/>
    </row>
    <row r="21" spans="1:17" ht="12.75">
      <c r="A21" s="146">
        <v>1949</v>
      </c>
      <c r="B21" s="372">
        <v>797688</v>
      </c>
      <c r="C21" s="145"/>
      <c r="D21" s="374">
        <v>88907.203999999998</v>
      </c>
      <c r="E21" s="145"/>
      <c r="F21" s="145"/>
      <c r="G21" s="145"/>
      <c r="H21" s="378"/>
      <c r="I21" s="378">
        <f t="shared" si="0"/>
        <v>886595.20400000003</v>
      </c>
      <c r="J21" s="365">
        <f>I21/'Pop &amp; CPI'!C22</f>
        <v>3678818.2738589211</v>
      </c>
      <c r="K21" s="385">
        <f>J21/'Pop &amp; CPI'!B22</f>
        <v>5.6337186429692512</v>
      </c>
      <c r="L21" s="147">
        <v>2.25</v>
      </c>
      <c r="M21" s="143"/>
      <c r="N21" s="143"/>
      <c r="O21" s="143"/>
      <c r="P21" s="143"/>
      <c r="Q21" s="144"/>
    </row>
    <row r="22" spans="1:17" ht="12.75">
      <c r="A22" s="150">
        <v>1950</v>
      </c>
      <c r="B22" s="373">
        <v>879117</v>
      </c>
      <c r="C22" s="148"/>
      <c r="D22" s="375">
        <v>104624</v>
      </c>
      <c r="E22" s="148"/>
      <c r="F22" s="148"/>
      <c r="G22" s="148"/>
      <c r="H22" s="379"/>
      <c r="I22" s="379">
        <f t="shared" si="0"/>
        <v>983741</v>
      </c>
      <c r="J22" s="366">
        <f>I22/'Pop &amp; CPI'!C23</f>
        <v>4133365.546218487</v>
      </c>
      <c r="K22" s="386">
        <f>J22/'Pop &amp; CPI'!B23</f>
        <v>6.161844881065127</v>
      </c>
      <c r="L22" s="151">
        <v>2.25</v>
      </c>
      <c r="M22" s="152"/>
      <c r="N22" s="152"/>
      <c r="O22" s="152"/>
      <c r="P22" s="152"/>
      <c r="Q22" s="153"/>
    </row>
    <row r="23" spans="1:17" ht="12.75">
      <c r="A23" s="146">
        <v>1951</v>
      </c>
      <c r="B23" s="372">
        <v>984849</v>
      </c>
      <c r="C23" s="145"/>
      <c r="D23" s="374">
        <v>117354.29</v>
      </c>
      <c r="E23" s="145"/>
      <c r="F23" s="145"/>
      <c r="G23" s="145"/>
      <c r="H23" s="378"/>
      <c r="I23" s="378">
        <f t="shared" si="0"/>
        <v>1102203.29</v>
      </c>
      <c r="J23" s="365">
        <f>I23/'Pop &amp; CPI'!C24</f>
        <v>4573457.6348547712</v>
      </c>
      <c r="K23" s="385">
        <f>J23/'Pop &amp; CPI'!B24</f>
        <v>6.5720040736524945</v>
      </c>
      <c r="L23" s="147">
        <v>2.25</v>
      </c>
      <c r="M23" s="143"/>
      <c r="N23" s="143"/>
      <c r="O23" s="143"/>
      <c r="P23" s="143"/>
      <c r="Q23" s="155" t="s">
        <v>109</v>
      </c>
    </row>
    <row r="24" spans="1:17" ht="12.75">
      <c r="A24" s="146">
        <v>1952</v>
      </c>
      <c r="B24" s="372">
        <v>1208591</v>
      </c>
      <c r="C24" s="145"/>
      <c r="D24" s="374">
        <v>102740</v>
      </c>
      <c r="E24" s="145"/>
      <c r="F24" s="145"/>
      <c r="G24" s="145"/>
      <c r="H24" s="378"/>
      <c r="I24" s="378">
        <f t="shared" si="0"/>
        <v>1311331</v>
      </c>
      <c r="J24" s="365">
        <f>I24/'Pop &amp; CPI'!C25</f>
        <v>5043580.769230769</v>
      </c>
      <c r="K24" s="385">
        <f>J24/'Pop &amp; CPI'!B25</f>
        <v>7.1428703713790807</v>
      </c>
      <c r="L24" s="147">
        <v>2.25</v>
      </c>
      <c r="M24" s="143"/>
      <c r="N24" s="143"/>
      <c r="O24" s="143"/>
      <c r="P24" s="143"/>
      <c r="Q24" s="155" t="s">
        <v>110</v>
      </c>
    </row>
    <row r="25" spans="1:17" ht="12.75">
      <c r="A25" s="146">
        <v>1953</v>
      </c>
      <c r="B25" s="372">
        <v>1386575</v>
      </c>
      <c r="C25" s="145"/>
      <c r="D25" s="374">
        <v>118767</v>
      </c>
      <c r="E25" s="145"/>
      <c r="F25" s="145"/>
      <c r="G25" s="145"/>
      <c r="H25" s="378"/>
      <c r="I25" s="378">
        <f t="shared" si="0"/>
        <v>1505342</v>
      </c>
      <c r="J25" s="365">
        <f>I25/'Pop &amp; CPI'!C26</f>
        <v>5680535.8490566034</v>
      </c>
      <c r="K25" s="385">
        <f>J25/'Pop &amp; CPI'!B26</f>
        <v>7.8460439904096733</v>
      </c>
      <c r="L25" s="147">
        <v>2.25</v>
      </c>
      <c r="M25" s="143"/>
      <c r="N25" s="143"/>
      <c r="O25" s="143"/>
      <c r="P25" s="143"/>
      <c r="Q25" s="144"/>
    </row>
    <row r="26" spans="1:17" ht="12.75">
      <c r="A26" s="146">
        <v>1954</v>
      </c>
      <c r="B26" s="372">
        <v>1522015</v>
      </c>
      <c r="C26" s="145"/>
      <c r="D26" s="374">
        <v>125100</v>
      </c>
      <c r="E26" s="145"/>
      <c r="F26" s="145"/>
      <c r="G26" s="145"/>
      <c r="H26" s="378"/>
      <c r="I26" s="378">
        <f t="shared" si="0"/>
        <v>1647115</v>
      </c>
      <c r="J26" s="365">
        <f>I26/'Pop &amp; CPI'!C27</f>
        <v>6168970.037453183</v>
      </c>
      <c r="K26" s="385">
        <f>J26/'Pop &amp; CPI'!B27</f>
        <v>8.3465972635004508</v>
      </c>
      <c r="L26" s="147">
        <v>2.25</v>
      </c>
      <c r="M26" s="143"/>
      <c r="N26" s="143"/>
      <c r="O26" s="143"/>
      <c r="P26" s="143"/>
      <c r="Q26" s="144"/>
    </row>
    <row r="27" spans="1:17" ht="12.75">
      <c r="A27" s="150">
        <v>1955</v>
      </c>
      <c r="B27" s="373">
        <v>1412379.37</v>
      </c>
      <c r="C27" s="148"/>
      <c r="D27" s="375">
        <v>121032</v>
      </c>
      <c r="E27" s="148"/>
      <c r="F27" s="148"/>
      <c r="G27" s="148"/>
      <c r="H27" s="379"/>
      <c r="I27" s="379">
        <f t="shared" si="0"/>
        <v>1533411.37</v>
      </c>
      <c r="J27" s="366">
        <f>I27/'Pop &amp; CPI'!C28</f>
        <v>5700414.0148698892</v>
      </c>
      <c r="K27" s="386">
        <f>J27/'Pop &amp; CPI'!B28</f>
        <v>7.5954883609192398</v>
      </c>
      <c r="L27" s="151">
        <v>2.25</v>
      </c>
      <c r="M27" s="152"/>
      <c r="N27" s="152"/>
      <c r="O27" s="152"/>
      <c r="P27" s="152"/>
      <c r="Q27" s="153"/>
    </row>
    <row r="28" spans="1:17" ht="12.75">
      <c r="A28" s="146">
        <v>1956</v>
      </c>
      <c r="B28" s="372">
        <v>1530752</v>
      </c>
      <c r="C28" s="145"/>
      <c r="D28" s="374">
        <v>147247</v>
      </c>
      <c r="E28" s="145"/>
      <c r="F28" s="145"/>
      <c r="G28" s="145"/>
      <c r="H28" s="378"/>
      <c r="I28" s="378">
        <f t="shared" si="0"/>
        <v>1677999</v>
      </c>
      <c r="J28" s="365">
        <f>I28/'Pop &amp; CPI'!C29</f>
        <v>6261190.2985074623</v>
      </c>
      <c r="K28" s="385">
        <f>J28/'Pop &amp; CPI'!B29</f>
        <v>7.9984546480677849</v>
      </c>
      <c r="L28" s="147">
        <v>2.25</v>
      </c>
      <c r="M28" s="143"/>
      <c r="N28" s="143"/>
      <c r="O28" s="143"/>
      <c r="P28" s="143"/>
      <c r="Q28" s="144"/>
    </row>
    <row r="29" spans="1:17" ht="12.75">
      <c r="A29" s="146">
        <v>1957</v>
      </c>
      <c r="B29" s="372">
        <v>1691905</v>
      </c>
      <c r="C29" s="145"/>
      <c r="D29" s="374">
        <v>172863.97</v>
      </c>
      <c r="E29" s="145"/>
      <c r="F29" s="145"/>
      <c r="G29" s="145"/>
      <c r="H29" s="378"/>
      <c r="I29" s="378">
        <f t="shared" si="0"/>
        <v>1864768.97</v>
      </c>
      <c r="J29" s="365">
        <f>I29/'Pop &amp; CPI'!C30</f>
        <v>6855768.2720588231</v>
      </c>
      <c r="K29" s="385">
        <f>J29/'Pop &amp; CPI'!B30</f>
        <v>8.4764691791033915</v>
      </c>
      <c r="L29" s="147">
        <v>2.25</v>
      </c>
      <c r="M29" s="143"/>
      <c r="N29" s="143"/>
      <c r="O29" s="143"/>
      <c r="P29" s="143"/>
      <c r="Q29" s="144"/>
    </row>
    <row r="30" spans="1:17" ht="12.75">
      <c r="A30" s="146">
        <v>1958</v>
      </c>
      <c r="B30" s="372">
        <v>1837789</v>
      </c>
      <c r="C30" s="145"/>
      <c r="D30" s="374">
        <v>159747</v>
      </c>
      <c r="E30" s="145"/>
      <c r="F30" s="145"/>
      <c r="G30" s="145"/>
      <c r="H30" s="378"/>
      <c r="I30" s="378">
        <f t="shared" si="0"/>
        <v>1997536</v>
      </c>
      <c r="J30" s="365">
        <f>I30/'Pop &amp; CPI'!C31</f>
        <v>7108669.0391459065</v>
      </c>
      <c r="K30" s="385">
        <f>J30/'Pop &amp; CPI'!B31</f>
        <v>8.6030122705384322</v>
      </c>
      <c r="L30" s="147">
        <v>2.25</v>
      </c>
      <c r="M30" s="143"/>
      <c r="N30" s="143"/>
      <c r="O30" s="143"/>
      <c r="P30" s="143"/>
      <c r="Q30" s="144"/>
    </row>
    <row r="31" spans="1:17" ht="12.75">
      <c r="A31" s="146">
        <v>1959</v>
      </c>
      <c r="B31" s="372">
        <v>1951819</v>
      </c>
      <c r="C31" s="145"/>
      <c r="D31" s="374">
        <v>191427.19</v>
      </c>
      <c r="E31" s="145"/>
      <c r="F31" s="145"/>
      <c r="G31" s="145"/>
      <c r="H31" s="378"/>
      <c r="I31" s="378">
        <f t="shared" si="0"/>
        <v>2143246.19</v>
      </c>
      <c r="J31" s="365">
        <f>I31/'Pop &amp; CPI'!C32</f>
        <v>7416076.7820069203</v>
      </c>
      <c r="K31" s="385">
        <f>J31/'Pop &amp; CPI'!B32</f>
        <v>8.7743454590711316</v>
      </c>
      <c r="L31" s="147">
        <v>2.25</v>
      </c>
      <c r="M31" s="143"/>
      <c r="N31" s="143"/>
      <c r="O31" s="143"/>
      <c r="P31" s="143"/>
      <c r="Q31" s="144"/>
    </row>
    <row r="32" spans="1:17" ht="12.75">
      <c r="A32" s="150">
        <v>1960</v>
      </c>
      <c r="B32" s="373">
        <v>2149883</v>
      </c>
      <c r="C32" s="148"/>
      <c r="D32" s="375">
        <v>206534</v>
      </c>
      <c r="E32" s="148"/>
      <c r="F32" s="148"/>
      <c r="G32" s="148"/>
      <c r="H32" s="379"/>
      <c r="I32" s="379">
        <f t="shared" si="0"/>
        <v>2356417</v>
      </c>
      <c r="J32" s="366">
        <f>I32/'Pop &amp; CPI'!C33</f>
        <v>8097652.9209621986</v>
      </c>
      <c r="K32" s="386">
        <f>J32/'Pop &amp; CPI'!B33</f>
        <v>9.3087170030603499</v>
      </c>
      <c r="L32" s="151">
        <v>2.25</v>
      </c>
      <c r="M32" s="152"/>
      <c r="N32" s="152"/>
      <c r="O32" s="152"/>
      <c r="P32" s="152"/>
      <c r="Q32" s="153"/>
    </row>
    <row r="33" spans="1:17" ht="12.75">
      <c r="A33" s="146">
        <v>1961</v>
      </c>
      <c r="B33" s="372">
        <v>2262297</v>
      </c>
      <c r="C33" s="145"/>
      <c r="D33" s="374">
        <v>212386.17</v>
      </c>
      <c r="E33" s="145"/>
      <c r="F33" s="145"/>
      <c r="G33" s="145"/>
      <c r="H33" s="378"/>
      <c r="I33" s="378">
        <f t="shared" si="0"/>
        <v>2474683.17</v>
      </c>
      <c r="J33" s="365">
        <f>I33/'Pop &amp; CPI'!C34</f>
        <v>8360416.1148648635</v>
      </c>
      <c r="K33" s="385">
        <f>J33/'Pop &amp; CPI'!B34</f>
        <v>9.2893512387387371</v>
      </c>
      <c r="L33" s="147">
        <v>2.25</v>
      </c>
      <c r="M33" s="143"/>
      <c r="N33" s="143"/>
      <c r="O33" s="143"/>
      <c r="P33" s="143"/>
      <c r="Q33" s="144"/>
    </row>
    <row r="34" spans="1:17" ht="12.75">
      <c r="A34" s="146">
        <v>1962</v>
      </c>
      <c r="B34" s="372">
        <v>2430559</v>
      </c>
      <c r="C34" s="145"/>
      <c r="D34" s="374">
        <v>222351.74</v>
      </c>
      <c r="E34" s="145"/>
      <c r="F34" s="145"/>
      <c r="G34" s="145"/>
      <c r="H34" s="378"/>
      <c r="I34" s="378">
        <f t="shared" si="0"/>
        <v>2652910.7400000002</v>
      </c>
      <c r="J34" s="365">
        <f>I34/'Pop &amp; CPI'!C35</f>
        <v>8872611.170568563</v>
      </c>
      <c r="K34" s="385">
        <f>J34/'Pop &amp; CPI'!B35</f>
        <v>9.479285438641627</v>
      </c>
      <c r="L34" s="147">
        <v>2.25</v>
      </c>
      <c r="M34" s="143"/>
      <c r="N34" s="143"/>
      <c r="O34" s="143"/>
      <c r="P34" s="143"/>
      <c r="Q34" s="144"/>
    </row>
    <row r="35" spans="1:17" ht="12.75">
      <c r="A35" s="146">
        <v>1963</v>
      </c>
      <c r="B35" s="372">
        <v>2618705</v>
      </c>
      <c r="C35" s="145"/>
      <c r="D35" s="374">
        <v>241929.98</v>
      </c>
      <c r="E35" s="145"/>
      <c r="F35" s="145"/>
      <c r="G35" s="145"/>
      <c r="H35" s="378"/>
      <c r="I35" s="378">
        <f t="shared" si="0"/>
        <v>2860634.98</v>
      </c>
      <c r="J35" s="365">
        <f>I35/'Pop &amp; CPI'!C36</f>
        <v>9472301.2582781464</v>
      </c>
      <c r="K35" s="385">
        <f>J35/'Pop &amp; CPI'!B36</f>
        <v>9.8875796015429511</v>
      </c>
      <c r="L35" s="147">
        <v>2.25</v>
      </c>
      <c r="M35" s="143"/>
      <c r="N35" s="143"/>
      <c r="O35" s="143"/>
      <c r="P35" s="143"/>
      <c r="Q35" s="144"/>
    </row>
    <row r="36" spans="1:17" ht="12.75">
      <c r="A36" s="146">
        <v>1964</v>
      </c>
      <c r="B36" s="372">
        <v>2732640</v>
      </c>
      <c r="C36" s="145"/>
      <c r="D36" s="374">
        <v>243804</v>
      </c>
      <c r="E36" s="145"/>
      <c r="F36" s="145"/>
      <c r="G36" s="145"/>
      <c r="H36" s="378">
        <v>96970</v>
      </c>
      <c r="I36" s="378">
        <f t="shared" si="0"/>
        <v>3073414</v>
      </c>
      <c r="J36" s="365">
        <f>I36/'Pop &amp; CPI'!C37</f>
        <v>10043836.601307189</v>
      </c>
      <c r="K36" s="385">
        <f>J36/'Pop &amp; CPI'!B37</f>
        <v>10.311947229268162</v>
      </c>
      <c r="L36" s="147">
        <v>2.25</v>
      </c>
      <c r="M36" s="143"/>
      <c r="N36" s="147">
        <v>2.25</v>
      </c>
      <c r="O36" s="143"/>
      <c r="P36" s="143"/>
      <c r="Q36" s="144"/>
    </row>
    <row r="37" spans="1:17" ht="12.75">
      <c r="A37" s="150">
        <v>1965</v>
      </c>
      <c r="B37" s="373">
        <v>3069284</v>
      </c>
      <c r="C37" s="148"/>
      <c r="D37" s="375">
        <v>272174.86</v>
      </c>
      <c r="E37" s="148"/>
      <c r="F37" s="148"/>
      <c r="G37" s="148"/>
      <c r="H37" s="379">
        <v>91486</v>
      </c>
      <c r="I37" s="379">
        <f t="shared" si="0"/>
        <v>3432944.86</v>
      </c>
      <c r="J37" s="366">
        <f>I37/'Pop &amp; CPI'!C38</f>
        <v>11074015.677419355</v>
      </c>
      <c r="K37" s="386">
        <f>J37/'Pop &amp; CPI'!B38</f>
        <v>11.323124414539217</v>
      </c>
      <c r="L37" s="151">
        <v>2.25</v>
      </c>
      <c r="M37" s="152"/>
      <c r="N37" s="151">
        <v>2.25</v>
      </c>
      <c r="O37" s="152"/>
      <c r="P37" s="152"/>
      <c r="Q37" s="153"/>
    </row>
    <row r="38" spans="1:17" ht="12" customHeight="1">
      <c r="A38" s="55">
        <v>1966</v>
      </c>
      <c r="B38" s="361">
        <v>3189576</v>
      </c>
      <c r="C38" s="56"/>
      <c r="D38" s="362">
        <v>271954</v>
      </c>
      <c r="E38" s="56"/>
      <c r="F38" s="56"/>
      <c r="G38" s="56"/>
      <c r="H38" s="361">
        <v>80916</v>
      </c>
      <c r="I38" s="378">
        <f t="shared" ref="I38:I69" si="1">H38+D38+C38+G38+F38+B38+E38</f>
        <v>3542446</v>
      </c>
      <c r="J38" s="365">
        <f>I38/'Pop &amp; CPI'!C39</f>
        <v>11245860.317460317</v>
      </c>
      <c r="K38" s="385">
        <f>J38/'Pop &amp; CPI'!B39</f>
        <v>11.347992247689524</v>
      </c>
      <c r="L38" s="73">
        <v>2.25</v>
      </c>
      <c r="M38" s="73">
        <v>3</v>
      </c>
      <c r="N38" s="74">
        <v>2.25</v>
      </c>
      <c r="O38" s="73"/>
      <c r="P38" s="73"/>
      <c r="Q38" s="57"/>
    </row>
    <row r="39" spans="1:17" ht="12.75">
      <c r="A39" s="55">
        <v>1967</v>
      </c>
      <c r="B39" s="362">
        <v>3452028</v>
      </c>
      <c r="C39" s="56"/>
      <c r="D39" s="362">
        <v>286601</v>
      </c>
      <c r="E39" s="56"/>
      <c r="F39" s="56"/>
      <c r="G39" s="56"/>
      <c r="H39" s="361">
        <v>94049</v>
      </c>
      <c r="I39" s="378">
        <f t="shared" si="1"/>
        <v>3832678</v>
      </c>
      <c r="J39" s="365">
        <f>I39/'Pop &amp; CPI'!C40</f>
        <v>11829253.086419752</v>
      </c>
      <c r="K39" s="385">
        <f>J39/'Pop &amp; CPI'!B40</f>
        <v>11.723739431535929</v>
      </c>
      <c r="L39" s="73">
        <v>2.25</v>
      </c>
      <c r="M39" s="73">
        <v>3</v>
      </c>
      <c r="N39" s="74">
        <v>2.25</v>
      </c>
      <c r="O39" s="73"/>
      <c r="P39" s="73"/>
      <c r="Q39" s="57"/>
    </row>
    <row r="40" spans="1:17" ht="12.75">
      <c r="A40" s="55">
        <v>1968</v>
      </c>
      <c r="B40" s="361">
        <v>3614789</v>
      </c>
      <c r="C40" s="56"/>
      <c r="D40" s="362">
        <v>313897.23</v>
      </c>
      <c r="E40" s="56"/>
      <c r="F40" s="56"/>
      <c r="G40" s="56"/>
      <c r="H40" s="361">
        <v>98613</v>
      </c>
      <c r="I40" s="378">
        <f t="shared" si="1"/>
        <v>4027299.23</v>
      </c>
      <c r="J40" s="365">
        <f>I40/'Pop &amp; CPI'!C41</f>
        <v>12057782.125748504</v>
      </c>
      <c r="K40" s="385">
        <f>J40/'Pop &amp; CPI'!B41</f>
        <v>11.832955962461732</v>
      </c>
      <c r="L40" s="73">
        <v>2.25</v>
      </c>
      <c r="M40" s="73">
        <v>1.5</v>
      </c>
      <c r="N40" s="74">
        <v>2.25</v>
      </c>
      <c r="O40" s="73"/>
      <c r="P40" s="73"/>
      <c r="Q40" s="57"/>
    </row>
    <row r="41" spans="1:17" ht="12.75">
      <c r="A41" s="55">
        <v>1969</v>
      </c>
      <c r="B41" s="361">
        <v>3852712</v>
      </c>
      <c r="C41" s="56"/>
      <c r="D41" s="362">
        <v>394365</v>
      </c>
      <c r="E41" s="56"/>
      <c r="F41" s="56"/>
      <c r="G41" s="56"/>
      <c r="H41" s="361">
        <v>105422</v>
      </c>
      <c r="I41" s="378">
        <f t="shared" si="1"/>
        <v>4352499</v>
      </c>
      <c r="J41" s="365">
        <f>I41/'Pop &amp; CPI'!C42</f>
        <v>12507181.03448276</v>
      </c>
      <c r="K41" s="385">
        <f>J41/'Pop &amp; CPI'!B42</f>
        <v>12.154694882879262</v>
      </c>
      <c r="L41" s="73">
        <v>2.25</v>
      </c>
      <c r="M41" s="73"/>
      <c r="N41" s="74">
        <v>2.25</v>
      </c>
      <c r="O41" s="73"/>
      <c r="P41" s="73"/>
      <c r="Q41" s="57"/>
    </row>
    <row r="42" spans="1:17" ht="12.75">
      <c r="A42" s="58">
        <v>1970</v>
      </c>
      <c r="B42" s="363">
        <v>4393264</v>
      </c>
      <c r="C42" s="59"/>
      <c r="D42" s="364">
        <v>341434</v>
      </c>
      <c r="E42" s="59"/>
      <c r="F42" s="59"/>
      <c r="G42" s="59"/>
      <c r="H42" s="363">
        <v>100469</v>
      </c>
      <c r="I42" s="379">
        <f t="shared" si="1"/>
        <v>4835167</v>
      </c>
      <c r="J42" s="366">
        <f>I42/'Pop &amp; CPI'!C43</f>
        <v>13174841.96185286</v>
      </c>
      <c r="K42" s="386">
        <f>J42/'Pop &amp; CPI'!B43</f>
        <v>12.583421167003687</v>
      </c>
      <c r="L42" s="75">
        <v>2.25</v>
      </c>
      <c r="M42" s="75"/>
      <c r="N42" s="76">
        <v>2.25</v>
      </c>
      <c r="O42" s="75"/>
      <c r="P42" s="75"/>
      <c r="Q42" s="61"/>
    </row>
    <row r="43" spans="1:17" ht="12.75">
      <c r="A43" s="55">
        <v>1971</v>
      </c>
      <c r="B43" s="362">
        <v>5064932</v>
      </c>
      <c r="C43" s="56"/>
      <c r="D43" s="362">
        <v>364173</v>
      </c>
      <c r="E43" s="56"/>
      <c r="F43" s="56"/>
      <c r="G43" s="56"/>
      <c r="H43" s="361">
        <v>118981</v>
      </c>
      <c r="I43" s="378">
        <f t="shared" si="1"/>
        <v>5548086</v>
      </c>
      <c r="J43" s="365">
        <f>I43/'Pop &amp; CPI'!C44</f>
        <v>14299190.721649487</v>
      </c>
      <c r="K43" s="385">
        <f>J43/'Pop &amp; CPI'!B44</f>
        <v>13.413874973404772</v>
      </c>
      <c r="L43" s="73">
        <v>2.25</v>
      </c>
      <c r="M43" s="73"/>
      <c r="N43" s="74">
        <v>2.25</v>
      </c>
      <c r="O43" s="73"/>
      <c r="P43" s="73"/>
      <c r="Q43" s="57" t="s">
        <v>99</v>
      </c>
    </row>
    <row r="44" spans="1:17" ht="12.75">
      <c r="A44" s="55">
        <v>1972</v>
      </c>
      <c r="B44" s="361">
        <v>5591332</v>
      </c>
      <c r="C44" s="56"/>
      <c r="D44" s="362">
        <v>417945</v>
      </c>
      <c r="E44" s="56"/>
      <c r="F44" s="56"/>
      <c r="G44" s="56"/>
      <c r="H44" s="361">
        <v>390387</v>
      </c>
      <c r="I44" s="378">
        <f t="shared" si="1"/>
        <v>6399664</v>
      </c>
      <c r="J44" s="365">
        <f>I44/'Pop &amp; CPI'!C45</f>
        <v>15801639.506172838</v>
      </c>
      <c r="K44" s="385">
        <f>J44/'Pop &amp; CPI'!B45</f>
        <v>14.350124420989728</v>
      </c>
      <c r="L44" s="73">
        <v>2.25</v>
      </c>
      <c r="M44" s="73"/>
      <c r="N44" s="74">
        <v>3.25</v>
      </c>
      <c r="O44" s="73"/>
      <c r="P44" s="73"/>
      <c r="Q44" s="57"/>
    </row>
    <row r="45" spans="1:17" ht="12.75">
      <c r="A45" s="55">
        <v>1973</v>
      </c>
      <c r="B45" s="362">
        <v>6329987</v>
      </c>
      <c r="C45" s="56"/>
      <c r="D45" s="362">
        <v>451917.55</v>
      </c>
      <c r="E45" s="56"/>
      <c r="F45" s="56"/>
      <c r="G45" s="56"/>
      <c r="H45" s="361">
        <v>431341</v>
      </c>
      <c r="I45" s="378">
        <f t="shared" si="1"/>
        <v>7213245.5499999998</v>
      </c>
      <c r="J45" s="365">
        <f>I45/'Pop &amp; CPI'!C46</f>
        <v>17256568.301435407</v>
      </c>
      <c r="K45" s="385">
        <f>J45/'Pop &amp; CPI'!B46</f>
        <v>15.20268549152974</v>
      </c>
      <c r="L45" s="73">
        <v>2.25</v>
      </c>
      <c r="M45" s="73"/>
      <c r="N45" s="74">
        <v>3.25</v>
      </c>
      <c r="O45" s="73"/>
      <c r="P45" s="73"/>
      <c r="Q45" s="57"/>
    </row>
    <row r="46" spans="1:17" ht="12.75">
      <c r="A46" s="55">
        <v>1974</v>
      </c>
      <c r="B46" s="362">
        <v>6977853</v>
      </c>
      <c r="C46" s="56"/>
      <c r="D46" s="362">
        <v>491943.21</v>
      </c>
      <c r="E46" s="56"/>
      <c r="F46" s="56"/>
      <c r="G46" s="56"/>
      <c r="H46" s="361">
        <v>541188</v>
      </c>
      <c r="I46" s="378">
        <f t="shared" si="1"/>
        <v>8010984.21</v>
      </c>
      <c r="J46" s="365">
        <f>I46/'Pop &amp; CPI'!C47</f>
        <v>18042757.229729731</v>
      </c>
      <c r="K46" s="385">
        <f>J46/'Pop &amp; CPI'!B47</f>
        <v>15.435011959219581</v>
      </c>
      <c r="L46" s="73">
        <v>2.25</v>
      </c>
      <c r="M46" s="73"/>
      <c r="N46" s="74">
        <v>3.25</v>
      </c>
      <c r="O46" s="73"/>
      <c r="P46" s="73"/>
      <c r="Q46" s="57" t="s">
        <v>100</v>
      </c>
    </row>
    <row r="47" spans="1:17" ht="12.75">
      <c r="A47" s="58">
        <v>1975</v>
      </c>
      <c r="B47" s="364">
        <v>7520415</v>
      </c>
      <c r="C47" s="59"/>
      <c r="D47" s="364">
        <v>517892.02</v>
      </c>
      <c r="E47" s="59"/>
      <c r="F47" s="59"/>
      <c r="G47" s="59"/>
      <c r="H47" s="363">
        <v>109847</v>
      </c>
      <c r="I47" s="379">
        <f t="shared" si="1"/>
        <v>8148154.0199999996</v>
      </c>
      <c r="J47" s="366">
        <f>I47/'Pop &amp; CPI'!C48</f>
        <v>16527695.780933062</v>
      </c>
      <c r="K47" s="386">
        <f>J47/'Pop &amp; CPI'!B48</f>
        <v>13.808175597086814</v>
      </c>
      <c r="L47" s="75">
        <v>2.25</v>
      </c>
      <c r="M47" s="75"/>
      <c r="N47" s="76">
        <v>3</v>
      </c>
      <c r="O47" s="75"/>
      <c r="P47" s="75"/>
      <c r="Q47" s="61"/>
    </row>
    <row r="48" spans="1:17" ht="12.75">
      <c r="A48" s="55">
        <v>1976</v>
      </c>
      <c r="B48" s="361">
        <v>8384435</v>
      </c>
      <c r="C48" s="56"/>
      <c r="D48" s="362">
        <v>579530</v>
      </c>
      <c r="E48" s="56"/>
      <c r="F48" s="56"/>
      <c r="G48" s="56"/>
      <c r="H48" s="361">
        <v>748356</v>
      </c>
      <c r="I48" s="382">
        <f t="shared" si="1"/>
        <v>9712321</v>
      </c>
      <c r="J48" s="365">
        <f>I48/'Pop &amp; CPI'!C49</f>
        <v>18052641.263940524</v>
      </c>
      <c r="K48" s="385">
        <f>J48/'Pop &amp; CPI'!B49</f>
        <v>14.630554553805434</v>
      </c>
      <c r="L48" s="73">
        <v>2.25</v>
      </c>
      <c r="M48" s="73"/>
      <c r="N48" s="74">
        <v>3</v>
      </c>
      <c r="O48" s="73"/>
      <c r="P48" s="73"/>
      <c r="Q48" s="57" t="s">
        <v>101</v>
      </c>
    </row>
    <row r="49" spans="1:17" ht="12.75">
      <c r="A49" s="55">
        <v>1977</v>
      </c>
      <c r="B49" s="361">
        <v>10098434</v>
      </c>
      <c r="C49" s="56"/>
      <c r="D49" s="362">
        <v>675587.04</v>
      </c>
      <c r="E49" s="56"/>
      <c r="F49" s="56"/>
      <c r="G49" s="56"/>
      <c r="H49" s="361">
        <v>1039811</v>
      </c>
      <c r="I49" s="378">
        <f t="shared" si="1"/>
        <v>11813832.039999999</v>
      </c>
      <c r="J49" s="365">
        <f>I49/'Pop &amp; CPI'!C50</f>
        <v>20762446.467486817</v>
      </c>
      <c r="K49" s="385">
        <f>J49/'Pop &amp; CPI'!B50</f>
        <v>16.32203645099392</v>
      </c>
      <c r="L49" s="73">
        <v>2.25</v>
      </c>
      <c r="M49" s="73"/>
      <c r="N49" s="74">
        <v>3.25</v>
      </c>
      <c r="O49" s="73"/>
      <c r="P49" s="73"/>
      <c r="Q49" s="57"/>
    </row>
    <row r="50" spans="1:17" ht="12.75">
      <c r="A50" s="55">
        <v>1978</v>
      </c>
      <c r="B50" s="361">
        <v>11917409</v>
      </c>
      <c r="C50" s="56"/>
      <c r="D50" s="362">
        <v>789001.7</v>
      </c>
      <c r="E50" s="56"/>
      <c r="F50" s="56"/>
      <c r="G50" s="56"/>
      <c r="H50" s="361">
        <v>1377313</v>
      </c>
      <c r="I50" s="378">
        <f t="shared" si="1"/>
        <v>14083723.699999999</v>
      </c>
      <c r="J50" s="365">
        <f>I50/'Pop &amp; CPI'!C51</f>
        <v>23240468.15181518</v>
      </c>
      <c r="K50" s="385">
        <f>J50/'Pop &amp; CPI'!B51</f>
        <v>17.66060120203289</v>
      </c>
      <c r="L50" s="73">
        <v>2.25</v>
      </c>
      <c r="M50" s="73"/>
      <c r="N50" s="74">
        <v>3.25</v>
      </c>
      <c r="O50" s="73"/>
      <c r="P50" s="73"/>
      <c r="Q50" s="57"/>
    </row>
    <row r="51" spans="1:17" ht="12.75">
      <c r="A51" s="55">
        <v>1979</v>
      </c>
      <c r="B51" s="362">
        <v>13444515.16</v>
      </c>
      <c r="C51" s="56"/>
      <c r="D51" s="362">
        <v>928010.16</v>
      </c>
      <c r="E51" s="56"/>
      <c r="F51" s="56"/>
      <c r="G51" s="56"/>
      <c r="H51" s="361">
        <v>1707486</v>
      </c>
      <c r="I51" s="378">
        <f t="shared" si="1"/>
        <v>16080011.32</v>
      </c>
      <c r="J51" s="365">
        <f>I51/'Pop &amp; CPI'!C52</f>
        <v>24662594.049079753</v>
      </c>
      <c r="K51" s="385">
        <f>J51/'Pop &amp; CPI'!B52</f>
        <v>18.084395269719341</v>
      </c>
      <c r="L51" s="73">
        <v>2.25</v>
      </c>
      <c r="M51" s="73"/>
      <c r="N51" s="74">
        <v>3.25</v>
      </c>
      <c r="O51" s="73"/>
      <c r="P51" s="73"/>
      <c r="Q51" s="57"/>
    </row>
    <row r="52" spans="1:17" ht="12.75">
      <c r="A52" s="58">
        <v>1980</v>
      </c>
      <c r="B52" s="364">
        <v>14725749.710000001</v>
      </c>
      <c r="C52" s="59"/>
      <c r="D52" s="364">
        <v>1093927.07</v>
      </c>
      <c r="E52" s="59"/>
      <c r="F52" s="59"/>
      <c r="G52" s="59"/>
      <c r="H52" s="363">
        <v>2025542</v>
      </c>
      <c r="I52" s="379">
        <f t="shared" si="1"/>
        <v>17845218.780000001</v>
      </c>
      <c r="J52" s="366">
        <f>I52/'Pop &amp; CPI'!C53</f>
        <v>24580191.157024797</v>
      </c>
      <c r="K52" s="386">
        <f>J52/'Pop &amp; CPI'!B53</f>
        <v>17.359505036918534</v>
      </c>
      <c r="L52" s="75">
        <v>2.25</v>
      </c>
      <c r="M52" s="75"/>
      <c r="N52" s="76">
        <v>3.25</v>
      </c>
      <c r="O52" s="75"/>
      <c r="P52" s="75"/>
      <c r="Q52" s="61"/>
    </row>
    <row r="53" spans="1:17" ht="12.75">
      <c r="A53" s="55">
        <v>1981</v>
      </c>
      <c r="B53" s="362">
        <v>15777758</v>
      </c>
      <c r="C53" s="56"/>
      <c r="D53" s="362">
        <v>1058283</v>
      </c>
      <c r="E53" s="56"/>
      <c r="F53" s="56"/>
      <c r="G53" s="56"/>
      <c r="H53" s="361">
        <v>2148513</v>
      </c>
      <c r="I53" s="382">
        <f t="shared" si="1"/>
        <v>18984554</v>
      </c>
      <c r="J53" s="365">
        <f>I53/'Pop &amp; CPI'!C54</f>
        <v>23039507.281553395</v>
      </c>
      <c r="K53" s="385">
        <f>J53/'Pop &amp; CPI'!B54</f>
        <v>15.630601954920893</v>
      </c>
      <c r="L53" s="73">
        <v>2.25</v>
      </c>
      <c r="M53" s="73"/>
      <c r="N53" s="74">
        <v>3.25</v>
      </c>
      <c r="O53" s="73"/>
      <c r="P53" s="73"/>
      <c r="Q53" s="57"/>
    </row>
    <row r="54" spans="1:17" ht="12.75">
      <c r="A54" s="55">
        <v>1982</v>
      </c>
      <c r="B54" s="362">
        <v>16400516</v>
      </c>
      <c r="C54" s="56"/>
      <c r="D54" s="362">
        <v>1075393.07</v>
      </c>
      <c r="E54" s="56"/>
      <c r="F54" s="56"/>
      <c r="G54" s="56"/>
      <c r="H54" s="361">
        <v>2568511</v>
      </c>
      <c r="I54" s="378">
        <f t="shared" si="1"/>
        <v>20044420.07</v>
      </c>
      <c r="J54" s="365">
        <f>I54/'Pop &amp; CPI'!C55</f>
        <v>22051067.183718372</v>
      </c>
      <c r="K54" s="385">
        <f>J54/'Pop &amp; CPI'!B55</f>
        <v>14.55515985723985</v>
      </c>
      <c r="L54" s="73">
        <v>2.25</v>
      </c>
      <c r="M54" s="73"/>
      <c r="N54" s="74">
        <v>3.25</v>
      </c>
      <c r="O54" s="73"/>
      <c r="P54" s="73"/>
      <c r="Q54" s="57"/>
    </row>
    <row r="55" spans="1:17" ht="12.75">
      <c r="A55" s="55">
        <v>1983</v>
      </c>
      <c r="B55" s="361">
        <v>18012496</v>
      </c>
      <c r="C55" s="56"/>
      <c r="D55" s="362">
        <v>1157790.75</v>
      </c>
      <c r="E55" s="56"/>
      <c r="F55" s="56"/>
      <c r="G55" s="56"/>
      <c r="H55" s="361">
        <v>3484375</v>
      </c>
      <c r="I55" s="378">
        <f t="shared" si="1"/>
        <v>22654661.75</v>
      </c>
      <c r="J55" s="365">
        <f>I55/'Pop &amp; CPI'!C56</f>
        <v>23476333.419689119</v>
      </c>
      <c r="K55" s="385">
        <f>J55/'Pop &amp; CPI'!B56</f>
        <v>15.06824994845258</v>
      </c>
      <c r="L55" s="73">
        <v>2.25</v>
      </c>
      <c r="M55" s="73"/>
      <c r="N55" s="74">
        <v>3.25</v>
      </c>
      <c r="O55" s="73"/>
      <c r="P55" s="73"/>
      <c r="Q55" s="57"/>
    </row>
    <row r="56" spans="1:17" ht="12.75">
      <c r="A56" s="55">
        <v>1984</v>
      </c>
      <c r="B56" s="361">
        <v>19989973</v>
      </c>
      <c r="C56" s="56"/>
      <c r="D56" s="362">
        <v>1236100.3400000001</v>
      </c>
      <c r="E56" s="56"/>
      <c r="F56" s="56"/>
      <c r="G56" s="56"/>
      <c r="H56" s="361">
        <v>3025003</v>
      </c>
      <c r="I56" s="378">
        <f t="shared" si="1"/>
        <v>24251076.34</v>
      </c>
      <c r="J56" s="365">
        <f>I56/'Pop &amp; CPI'!C57</f>
        <v>24348470.220883533</v>
      </c>
      <c r="K56" s="385">
        <f>J56/'Pop &amp; CPI'!B57</f>
        <v>15.265498571086855</v>
      </c>
      <c r="L56" s="73">
        <v>2.25</v>
      </c>
      <c r="M56" s="73"/>
      <c r="N56" s="74">
        <v>3.25</v>
      </c>
      <c r="O56" s="73"/>
      <c r="P56" s="73"/>
      <c r="Q56" s="57"/>
    </row>
    <row r="57" spans="1:17" ht="12.75">
      <c r="A57" s="58">
        <v>1985</v>
      </c>
      <c r="B57" s="363">
        <v>22262350</v>
      </c>
      <c r="C57" s="59"/>
      <c r="D57" s="364">
        <v>1431593.05</v>
      </c>
      <c r="E57" s="59"/>
      <c r="F57" s="59"/>
      <c r="G57" s="59"/>
      <c r="H57" s="363">
        <v>2477847</v>
      </c>
      <c r="I57" s="379">
        <f t="shared" si="1"/>
        <v>26171790.050000001</v>
      </c>
      <c r="J57" s="366">
        <f>I57/'Pop &amp; CPI'!C58</f>
        <v>25189403.320500478</v>
      </c>
      <c r="K57" s="386">
        <f>J57/'Pop &amp; CPI'!B58</f>
        <v>15.52984175123334</v>
      </c>
      <c r="L57" s="75">
        <v>2.25</v>
      </c>
      <c r="M57" s="75"/>
      <c r="N57" s="76">
        <v>3.25</v>
      </c>
      <c r="O57" s="75"/>
      <c r="P57" s="75"/>
      <c r="Q57" s="61"/>
    </row>
    <row r="58" spans="1:17" ht="12.75">
      <c r="A58" s="55">
        <v>1986</v>
      </c>
      <c r="B58" s="362">
        <v>26077060.059999999</v>
      </c>
      <c r="C58" s="56"/>
      <c r="D58" s="362">
        <v>1704221</v>
      </c>
      <c r="E58" s="56"/>
      <c r="F58" s="56"/>
      <c r="G58" s="56"/>
      <c r="H58" s="361">
        <v>1939935</v>
      </c>
      <c r="I58" s="378">
        <f t="shared" si="1"/>
        <v>29721216.059999999</v>
      </c>
      <c r="J58" s="365">
        <f>I58/'Pop &amp; CPI'!C59</f>
        <v>27621948.01115242</v>
      </c>
      <c r="K58" s="385">
        <f>J58/'Pop &amp; CPI'!B59</f>
        <v>16.811897754809749</v>
      </c>
      <c r="L58" s="73">
        <v>2.25</v>
      </c>
      <c r="M58" s="73"/>
      <c r="N58" s="74">
        <v>3.25</v>
      </c>
      <c r="O58" s="77"/>
      <c r="P58" s="73"/>
      <c r="Q58" s="57" t="s">
        <v>102</v>
      </c>
    </row>
    <row r="59" spans="1:17" ht="12.75">
      <c r="A59" s="55">
        <v>1987</v>
      </c>
      <c r="B59" s="362">
        <v>27762413</v>
      </c>
      <c r="C59" s="56"/>
      <c r="D59" s="362">
        <v>2210796</v>
      </c>
      <c r="E59" s="56"/>
      <c r="F59" s="56"/>
      <c r="G59" s="56"/>
      <c r="H59" s="361">
        <v>4301118</v>
      </c>
      <c r="I59" s="365">
        <f t="shared" si="1"/>
        <v>34274327</v>
      </c>
      <c r="J59" s="365">
        <f>I59/'Pop &amp; CPI'!C60</f>
        <v>31272196.167883217</v>
      </c>
      <c r="K59" s="385">
        <f>J59/'Pop &amp; CPI'!B60</f>
        <v>18.804688014361524</v>
      </c>
      <c r="L59" s="73">
        <v>2.25</v>
      </c>
      <c r="M59" s="73"/>
      <c r="N59" s="74">
        <v>3.25</v>
      </c>
      <c r="O59" s="85">
        <v>0.45</v>
      </c>
      <c r="P59" s="73"/>
      <c r="Q59" s="57"/>
    </row>
    <row r="60" spans="1:17" ht="12.75">
      <c r="A60" s="55">
        <v>1988</v>
      </c>
      <c r="B60" s="362">
        <v>28223290</v>
      </c>
      <c r="C60" s="56"/>
      <c r="D60" s="362">
        <v>2412232</v>
      </c>
      <c r="E60" s="56"/>
      <c r="F60" s="56"/>
      <c r="G60" s="56"/>
      <c r="H60" s="361">
        <v>5555123</v>
      </c>
      <c r="I60" s="365">
        <f t="shared" si="1"/>
        <v>36190645</v>
      </c>
      <c r="J60" s="365">
        <f>I60/'Pop &amp; CPI'!C61</f>
        <v>31857962.147887327</v>
      </c>
      <c r="K60" s="385">
        <f>J60/'Pop &amp; CPI'!B61</f>
        <v>18.985674700767181</v>
      </c>
      <c r="L60" s="73">
        <v>2.25</v>
      </c>
      <c r="M60" s="73"/>
      <c r="N60" s="74">
        <v>3.25</v>
      </c>
      <c r="O60" s="85">
        <v>0.45</v>
      </c>
      <c r="P60" s="73"/>
      <c r="Q60" s="57" t="s">
        <v>103</v>
      </c>
    </row>
    <row r="61" spans="1:17" ht="12.75">
      <c r="A61" s="55">
        <v>1989</v>
      </c>
      <c r="B61" s="362">
        <v>26405692</v>
      </c>
      <c r="C61" s="56"/>
      <c r="D61" s="362">
        <v>2021743</v>
      </c>
      <c r="E61" s="56"/>
      <c r="F61" s="56"/>
      <c r="G61" s="56"/>
      <c r="H61" s="361">
        <v>10143385</v>
      </c>
      <c r="I61" s="365">
        <f t="shared" si="1"/>
        <v>38570820</v>
      </c>
      <c r="J61" s="365">
        <f>I61/'Pop &amp; CPI'!C62</f>
        <v>32604243.448858831</v>
      </c>
      <c r="K61" s="385">
        <f>J61/'Pop &amp; CPI'!B62</f>
        <v>19.292451744886883</v>
      </c>
      <c r="L61" s="73">
        <v>2.25</v>
      </c>
      <c r="M61" s="73"/>
      <c r="N61" s="74">
        <v>8</v>
      </c>
      <c r="O61" s="85">
        <v>0.45</v>
      </c>
      <c r="P61" s="78">
        <v>2.2675000000000001</v>
      </c>
      <c r="Q61" s="57" t="s">
        <v>108</v>
      </c>
    </row>
    <row r="62" spans="1:17" ht="12.75">
      <c r="A62" s="58">
        <v>1990</v>
      </c>
      <c r="B62" s="364">
        <v>30061378</v>
      </c>
      <c r="C62" s="59"/>
      <c r="D62" s="364">
        <v>1669977</v>
      </c>
      <c r="E62" s="59"/>
      <c r="F62" s="59"/>
      <c r="G62" s="59"/>
      <c r="H62" s="364">
        <v>9360008</v>
      </c>
      <c r="I62" s="366">
        <f t="shared" si="1"/>
        <v>41091363</v>
      </c>
      <c r="J62" s="366">
        <f>I62/'Pop &amp; CPI'!C63</f>
        <v>33138195.967741936</v>
      </c>
      <c r="K62" s="386">
        <f>J62/'Pop &amp; CPI'!B63</f>
        <v>19.424499394924933</v>
      </c>
      <c r="L62" s="75">
        <v>2.25</v>
      </c>
      <c r="M62" s="75"/>
      <c r="N62" s="76">
        <v>8</v>
      </c>
      <c r="O62" s="86">
        <v>0.45</v>
      </c>
      <c r="P62" s="79">
        <v>2.2675000000000001</v>
      </c>
      <c r="Q62" s="61" t="s">
        <v>104</v>
      </c>
    </row>
    <row r="63" spans="1:17" ht="12.75">
      <c r="A63" s="55">
        <v>1991</v>
      </c>
      <c r="B63" s="361">
        <v>27845248</v>
      </c>
      <c r="C63" s="56"/>
      <c r="D63" s="362">
        <v>1872316</v>
      </c>
      <c r="E63" s="56"/>
      <c r="F63" s="56"/>
      <c r="G63" s="56"/>
      <c r="H63" s="361">
        <v>14195851</v>
      </c>
      <c r="I63" s="365">
        <f t="shared" si="1"/>
        <v>43913415</v>
      </c>
      <c r="J63" s="365">
        <f>I63/'Pop &amp; CPI'!C64</f>
        <v>33598634.276970163</v>
      </c>
      <c r="K63" s="385">
        <f>J63/'Pop &amp; CPI'!B64</f>
        <v>19.429857547314587</v>
      </c>
      <c r="L63" s="73">
        <v>2.25</v>
      </c>
      <c r="M63" s="73"/>
      <c r="N63" s="74">
        <v>7</v>
      </c>
      <c r="O63" s="85">
        <v>0.45</v>
      </c>
      <c r="P63" s="78">
        <v>2.2675000000000001</v>
      </c>
      <c r="Q63" s="57"/>
    </row>
    <row r="64" spans="1:17" ht="12.75">
      <c r="A64" s="55">
        <v>1992</v>
      </c>
      <c r="B64" s="361">
        <v>30175346</v>
      </c>
      <c r="C64" s="56"/>
      <c r="D64" s="362">
        <v>2184833</v>
      </c>
      <c r="E64" s="56"/>
      <c r="F64" s="56"/>
      <c r="G64" s="56"/>
      <c r="H64" s="361">
        <v>16372410</v>
      </c>
      <c r="I64" s="365">
        <f t="shared" si="1"/>
        <v>48732589</v>
      </c>
      <c r="J64" s="365">
        <f>I64/'Pop &amp; CPI'!C65</f>
        <v>35780168.135095455</v>
      </c>
      <c r="K64" s="385">
        <f>J64/'Pop &amp; CPI'!B65</f>
        <v>20.091398100420275</v>
      </c>
      <c r="L64" s="73">
        <v>2.25</v>
      </c>
      <c r="M64" s="73"/>
      <c r="N64" s="74">
        <v>7</v>
      </c>
      <c r="O64" s="85">
        <v>0.45</v>
      </c>
      <c r="P64" s="78">
        <v>2.2675000000000001</v>
      </c>
      <c r="Q64" s="57" t="s">
        <v>105</v>
      </c>
    </row>
    <row r="65" spans="1:17" ht="12.75">
      <c r="A65" s="55">
        <v>1993</v>
      </c>
      <c r="B65" s="361">
        <v>33998235</v>
      </c>
      <c r="C65" s="56"/>
      <c r="D65" s="362">
        <v>2523357</v>
      </c>
      <c r="E65" s="56"/>
      <c r="F65" s="56"/>
      <c r="G65" s="56"/>
      <c r="H65" s="361">
        <v>19215056</v>
      </c>
      <c r="I65" s="365">
        <f t="shared" si="1"/>
        <v>55736648</v>
      </c>
      <c r="J65" s="365">
        <f>I65/'Pop &amp; CPI'!C66</f>
        <v>39726762.651461154</v>
      </c>
      <c r="K65" s="385">
        <f>J65/'Pop &amp; CPI'!B66</f>
        <v>21.612373453654275</v>
      </c>
      <c r="L65" s="73">
        <v>2.25</v>
      </c>
      <c r="M65" s="73"/>
      <c r="N65" s="74">
        <v>5.73</v>
      </c>
      <c r="O65" s="85">
        <v>0.45</v>
      </c>
      <c r="P65" s="78">
        <v>2.2675000000000001</v>
      </c>
      <c r="Q65" s="57"/>
    </row>
    <row r="66" spans="1:17" ht="12.75">
      <c r="A66" s="55">
        <v>1994</v>
      </c>
      <c r="B66" s="361">
        <v>38166689</v>
      </c>
      <c r="C66" s="56"/>
      <c r="D66" s="362">
        <v>3536742</v>
      </c>
      <c r="E66" s="56"/>
      <c r="F66" s="56"/>
      <c r="G66" s="56"/>
      <c r="H66" s="361">
        <v>19594880</v>
      </c>
      <c r="I66" s="365">
        <f t="shared" si="1"/>
        <v>61298311</v>
      </c>
      <c r="J66" s="365">
        <f>I66/'Pop &amp; CPI'!C67</f>
        <v>42420976.470588237</v>
      </c>
      <c r="K66" s="385">
        <f>J66/'Pop &amp; CPI'!B67</f>
        <v>22.452171925368749</v>
      </c>
      <c r="L66" s="73">
        <v>2.25</v>
      </c>
      <c r="M66" s="73"/>
      <c r="N66" s="74">
        <v>5.73</v>
      </c>
      <c r="O66" s="85">
        <v>0.45</v>
      </c>
      <c r="P66" s="85">
        <v>2.2599999999999998</v>
      </c>
      <c r="Q66" s="57" t="s">
        <v>106</v>
      </c>
    </row>
    <row r="67" spans="1:17" ht="12.75">
      <c r="A67" s="58">
        <v>1995</v>
      </c>
      <c r="B67" s="363">
        <v>40941638</v>
      </c>
      <c r="C67" s="59">
        <v>1372303</v>
      </c>
      <c r="D67" s="364">
        <v>3655854</v>
      </c>
      <c r="E67" s="59"/>
      <c r="F67" s="59"/>
      <c r="G67" s="59"/>
      <c r="H67" s="363">
        <v>24297284</v>
      </c>
      <c r="I67" s="366">
        <f t="shared" si="1"/>
        <v>70267079</v>
      </c>
      <c r="J67" s="366">
        <f>I67/'Pop &amp; CPI'!C68</f>
        <v>47413683.535762481</v>
      </c>
      <c r="K67" s="386">
        <f>J67/'Pop &amp; CPI'!B68</f>
        <v>24.355664492119047</v>
      </c>
      <c r="L67" s="75">
        <v>2.25</v>
      </c>
      <c r="M67" s="75"/>
      <c r="N67" s="76">
        <v>5.73</v>
      </c>
      <c r="O67" s="86">
        <v>0.45</v>
      </c>
      <c r="P67" s="86">
        <v>2.2599999999999998</v>
      </c>
      <c r="Q67" s="61" t="s">
        <v>107</v>
      </c>
    </row>
    <row r="68" spans="1:17" ht="12.75">
      <c r="A68" s="55">
        <v>1996</v>
      </c>
      <c r="B68" s="365">
        <v>40133569</v>
      </c>
      <c r="C68" s="54">
        <v>1501854</v>
      </c>
      <c r="D68" s="362">
        <v>3916741</v>
      </c>
      <c r="E68" s="54"/>
      <c r="F68" s="54"/>
      <c r="G68" s="54"/>
      <c r="H68" s="365">
        <v>20483216</v>
      </c>
      <c r="I68" s="365">
        <f t="shared" si="1"/>
        <v>66035380</v>
      </c>
      <c r="J68" s="365">
        <f>I68/'Pop &amp; CPI'!C69</f>
        <v>43330301.837270342</v>
      </c>
      <c r="K68" s="385">
        <f>J68/'Pop &amp; CPI'!B69</f>
        <v>21.716967603336734</v>
      </c>
      <c r="L68" s="73">
        <v>2.25</v>
      </c>
      <c r="M68" s="73"/>
      <c r="N68" s="74">
        <v>5.85</v>
      </c>
      <c r="O68" s="85">
        <v>0.45</v>
      </c>
      <c r="P68" s="85">
        <v>2.2599999999999998</v>
      </c>
      <c r="Q68" s="57"/>
    </row>
    <row r="69" spans="1:17" ht="12.75">
      <c r="A69" s="55">
        <v>1997</v>
      </c>
      <c r="B69" s="362">
        <v>43075375</v>
      </c>
      <c r="C69" s="54">
        <v>2349433</v>
      </c>
      <c r="D69" s="362">
        <v>4406521</v>
      </c>
      <c r="E69" s="54">
        <v>56146.55</v>
      </c>
      <c r="F69" s="54">
        <v>592501.44999999995</v>
      </c>
      <c r="G69" s="54"/>
      <c r="H69" s="365">
        <v>19050753</v>
      </c>
      <c r="I69" s="365">
        <f t="shared" si="1"/>
        <v>69530730</v>
      </c>
      <c r="J69" s="365">
        <f>I69/'Pop &amp; CPI'!C70</f>
        <v>44315315.487571701</v>
      </c>
      <c r="K69" s="385">
        <f>J69/'Pop &amp; CPI'!B70</f>
        <v>21.692431021875205</v>
      </c>
      <c r="L69" s="73">
        <v>2.25</v>
      </c>
      <c r="M69" s="73"/>
      <c r="N69" s="74">
        <v>5.6</v>
      </c>
      <c r="O69" s="85">
        <v>0.45</v>
      </c>
      <c r="P69" s="85">
        <v>2.2599999999999998</v>
      </c>
      <c r="Q69" s="57"/>
    </row>
    <row r="70" spans="1:17" ht="12.75">
      <c r="A70" s="55">
        <v>1998</v>
      </c>
      <c r="B70" s="362">
        <v>44574039</v>
      </c>
      <c r="C70" s="54">
        <v>2222199</v>
      </c>
      <c r="D70" s="362">
        <v>4447399</v>
      </c>
      <c r="E70" s="54">
        <v>56213.72</v>
      </c>
      <c r="F70" s="54">
        <v>796562.2</v>
      </c>
      <c r="G70" s="54"/>
      <c r="H70" s="365">
        <v>30013828</v>
      </c>
      <c r="I70" s="365">
        <f t="shared" ref="I70:I93" si="2">H70+D70+C70+G70+F70+B70+E70</f>
        <v>82110240.920000002</v>
      </c>
      <c r="J70" s="365">
        <f>I70/'Pop &amp; CPI'!C71</f>
        <v>51159028.610591903</v>
      </c>
      <c r="K70" s="385">
        <f>J70/'Pop &amp; CPI'!B71</f>
        <v>24.368300131414081</v>
      </c>
      <c r="L70" s="73">
        <v>2.25</v>
      </c>
      <c r="M70" s="73"/>
      <c r="N70" s="80">
        <v>9.25</v>
      </c>
      <c r="O70" s="85">
        <v>0.45</v>
      </c>
      <c r="P70" s="80">
        <v>2.2599999999999998</v>
      </c>
      <c r="Q70" s="57"/>
    </row>
    <row r="71" spans="1:17" ht="12.75">
      <c r="A71" s="55">
        <v>1999</v>
      </c>
      <c r="B71" s="365">
        <v>47722320</v>
      </c>
      <c r="C71" s="64">
        <v>2203529</v>
      </c>
      <c r="D71" s="362">
        <v>4408066</v>
      </c>
      <c r="E71" s="64">
        <v>57293.25</v>
      </c>
      <c r="F71" s="64">
        <v>675416.41</v>
      </c>
      <c r="G71" s="64"/>
      <c r="H71" s="365">
        <v>22008901</v>
      </c>
      <c r="I71" s="365">
        <f t="shared" si="2"/>
        <v>77075525.659999996</v>
      </c>
      <c r="J71" s="365">
        <f>I71/'Pop &amp; CPI'!C72</f>
        <v>47285598.564417176</v>
      </c>
      <c r="K71" s="385">
        <f>J71/'Pop &amp; CPI'!B72</f>
        <v>22.079236098646817</v>
      </c>
      <c r="L71" s="73">
        <v>2.25</v>
      </c>
      <c r="M71" s="73"/>
      <c r="N71" s="81">
        <v>10</v>
      </c>
      <c r="O71" s="85">
        <v>0.45</v>
      </c>
      <c r="P71" s="80">
        <v>2.2599999999999998</v>
      </c>
      <c r="Q71" s="57"/>
    </row>
    <row r="72" spans="1:17" ht="12.75">
      <c r="A72" s="58">
        <v>2000</v>
      </c>
      <c r="B72" s="366">
        <v>52157476</v>
      </c>
      <c r="C72" s="65">
        <v>2429742</v>
      </c>
      <c r="D72" s="364">
        <v>4859484</v>
      </c>
      <c r="E72" s="65">
        <v>62176.63</v>
      </c>
      <c r="F72" s="65">
        <v>757969.85</v>
      </c>
      <c r="G72" s="65"/>
      <c r="H72" s="366">
        <v>28371681</v>
      </c>
      <c r="I72" s="366">
        <f t="shared" si="2"/>
        <v>88638529.479999989</v>
      </c>
      <c r="J72" s="366">
        <f>I72/'Pop &amp; CPI'!C73</f>
        <v>53204399.447779104</v>
      </c>
      <c r="K72" s="386">
        <f>J72/'Pop &amp; CPI'!B73</f>
        <v>24.260857180017595</v>
      </c>
      <c r="L72" s="75">
        <v>2.25</v>
      </c>
      <c r="M72" s="75"/>
      <c r="N72" s="82">
        <v>10</v>
      </c>
      <c r="O72" s="86">
        <v>0.45</v>
      </c>
      <c r="P72" s="176">
        <v>2.2599999999999998</v>
      </c>
      <c r="Q72" s="61"/>
    </row>
    <row r="73" spans="1:17" ht="12.75">
      <c r="A73" s="55">
        <v>2001</v>
      </c>
      <c r="B73" s="365">
        <v>45997165</v>
      </c>
      <c r="C73" s="54">
        <v>4350497</v>
      </c>
      <c r="D73" s="362">
        <v>8879629</v>
      </c>
      <c r="E73" s="54">
        <v>51134.32</v>
      </c>
      <c r="F73" s="54">
        <v>516913.33</v>
      </c>
      <c r="G73" s="54"/>
      <c r="H73" s="365">
        <v>23612774</v>
      </c>
      <c r="I73" s="365">
        <f t="shared" si="2"/>
        <v>83408112.649999991</v>
      </c>
      <c r="J73" s="365">
        <f>I73/'Pop &amp; CPI'!C74</f>
        <v>48436766.927990705</v>
      </c>
      <c r="K73" s="385">
        <f>J73/'Pop &amp; CPI'!B74</f>
        <v>21.561298415107942</v>
      </c>
      <c r="L73" s="73">
        <v>2.25</v>
      </c>
      <c r="M73" s="73"/>
      <c r="N73" s="83">
        <v>8</v>
      </c>
      <c r="O73" s="85">
        <v>0.45</v>
      </c>
      <c r="P73" s="80">
        <v>2.2599999999999998</v>
      </c>
      <c r="Q73" s="57" t="s">
        <v>17</v>
      </c>
    </row>
    <row r="74" spans="1:17" ht="12.75">
      <c r="A74" s="55">
        <v>2002</v>
      </c>
      <c r="B74" s="365">
        <v>56616408</v>
      </c>
      <c r="C74" s="64">
        <v>4522861</v>
      </c>
      <c r="D74" s="362">
        <v>9080038</v>
      </c>
      <c r="E74" s="64">
        <v>66670.570000000007</v>
      </c>
      <c r="F74" s="64">
        <v>818670.52</v>
      </c>
      <c r="G74" s="64"/>
      <c r="H74" s="365">
        <v>26631776</v>
      </c>
      <c r="I74" s="365">
        <f t="shared" si="2"/>
        <v>97736424.090000004</v>
      </c>
      <c r="J74" s="365">
        <f>I74/'Pop &amp; CPI'!C75</f>
        <v>55187139.520045176</v>
      </c>
      <c r="K74" s="385">
        <f>J74/'Pop &amp; CPI'!B75</f>
        <v>24.092517407864012</v>
      </c>
      <c r="L74" s="73">
        <v>2.25</v>
      </c>
      <c r="M74" s="73"/>
      <c r="N74" s="83">
        <v>9.75</v>
      </c>
      <c r="O74" s="85">
        <v>0.45</v>
      </c>
      <c r="P74" s="177">
        <v>2.2599999999999998</v>
      </c>
      <c r="Q74" s="57" t="s">
        <v>17</v>
      </c>
    </row>
    <row r="75" spans="1:17" ht="12.75">
      <c r="A75" s="55">
        <v>2003</v>
      </c>
      <c r="B75" s="365">
        <v>58989204</v>
      </c>
      <c r="C75" s="64">
        <v>4427338</v>
      </c>
      <c r="D75" s="362">
        <v>8809567</v>
      </c>
      <c r="E75" s="64">
        <v>72650.48</v>
      </c>
      <c r="F75" s="64">
        <v>923168.26</v>
      </c>
      <c r="G75" s="64"/>
      <c r="H75" s="365">
        <v>36796334</v>
      </c>
      <c r="I75" s="365">
        <f t="shared" si="2"/>
        <v>110018261.73999999</v>
      </c>
      <c r="J75" s="365">
        <f>I75/'Pop &amp; CPI'!C76</f>
        <v>61155231.650917165</v>
      </c>
      <c r="K75" s="385">
        <f>J75/'Pop &amp; CPI'!B76</f>
        <v>26.226327200621814</v>
      </c>
      <c r="L75" s="73">
        <v>2.25</v>
      </c>
      <c r="M75" s="73"/>
      <c r="N75" s="83">
        <v>9.75</v>
      </c>
      <c r="O75" s="85">
        <v>0.45</v>
      </c>
      <c r="P75" s="177">
        <v>2.2599999999999998</v>
      </c>
      <c r="Q75" s="66"/>
    </row>
    <row r="76" spans="1:17" ht="12.75">
      <c r="A76" s="55">
        <v>2004</v>
      </c>
      <c r="B76" s="365">
        <v>62424496</v>
      </c>
      <c r="C76" s="67">
        <v>4751878</v>
      </c>
      <c r="D76" s="362">
        <v>9500901</v>
      </c>
      <c r="E76" s="67">
        <v>81306.77</v>
      </c>
      <c r="F76" s="67">
        <v>1021700.9</v>
      </c>
      <c r="G76" s="67"/>
      <c r="H76" s="361">
        <v>39518345</v>
      </c>
      <c r="I76" s="365">
        <f t="shared" si="2"/>
        <v>117298627.67</v>
      </c>
      <c r="J76" s="365">
        <f>I76/'Pop &amp; CPI'!C77</f>
        <v>63749254.168478258</v>
      </c>
      <c r="K76" s="385">
        <f>J76/'Pop &amp; CPI'!B77</f>
        <v>26.870551204058515</v>
      </c>
      <c r="L76" s="73">
        <v>2.25</v>
      </c>
      <c r="M76" s="73"/>
      <c r="N76" s="83">
        <v>9.75</v>
      </c>
      <c r="O76" s="85">
        <v>0.45</v>
      </c>
      <c r="P76" s="177">
        <v>2.2599999999999998</v>
      </c>
      <c r="Q76" s="57"/>
    </row>
    <row r="77" spans="1:17" ht="12.75">
      <c r="A77" s="58">
        <v>2005</v>
      </c>
      <c r="B77" s="366">
        <v>67353901</v>
      </c>
      <c r="C77" s="59">
        <v>5410595</v>
      </c>
      <c r="D77" s="364">
        <v>10823428</v>
      </c>
      <c r="E77" s="59">
        <v>84932.05</v>
      </c>
      <c r="F77" s="59">
        <v>1260988.8700000001</v>
      </c>
      <c r="G77" s="59"/>
      <c r="H77" s="363">
        <v>47175376</v>
      </c>
      <c r="I77" s="366">
        <f t="shared" si="2"/>
        <v>132109220.92</v>
      </c>
      <c r="J77" s="366">
        <f>I77/'Pop &amp; CPI'!C78</f>
        <v>69936061.895182639</v>
      </c>
      <c r="K77" s="386">
        <f>J77/'Pop &amp; CPI'!B78</f>
        <v>28.777631474635307</v>
      </c>
      <c r="L77" s="75">
        <v>2.25</v>
      </c>
      <c r="M77" s="75"/>
      <c r="N77" s="84">
        <v>7.75</v>
      </c>
      <c r="O77" s="86">
        <v>0.45</v>
      </c>
      <c r="P77" s="178">
        <v>2.2599999999999998</v>
      </c>
      <c r="Q77" s="61" t="s">
        <v>17</v>
      </c>
    </row>
    <row r="78" spans="1:17" ht="12.75">
      <c r="A78" s="55">
        <v>2006</v>
      </c>
      <c r="B78" s="365">
        <v>71417541</v>
      </c>
      <c r="C78" s="56">
        <v>5216795</v>
      </c>
      <c r="D78" s="362">
        <v>10431262</v>
      </c>
      <c r="E78" s="56">
        <v>89131.19</v>
      </c>
      <c r="F78" s="56">
        <v>1483640.03</v>
      </c>
      <c r="G78" s="56"/>
      <c r="H78" s="361">
        <v>43440929</v>
      </c>
      <c r="I78" s="365">
        <f t="shared" si="2"/>
        <v>132079298.22</v>
      </c>
      <c r="J78" s="365">
        <f>I78/'Pop &amp; CPI'!C79</f>
        <v>67628928.940092161</v>
      </c>
      <c r="K78" s="385">
        <f>J78/'Pop &amp; CPI'!B79</f>
        <v>26.988494067701833</v>
      </c>
      <c r="L78" s="73">
        <v>2.25</v>
      </c>
      <c r="M78" s="73"/>
      <c r="N78" s="83">
        <v>7.75</v>
      </c>
      <c r="O78" s="85">
        <v>0.45</v>
      </c>
      <c r="P78" s="177">
        <v>2.2599999999999998</v>
      </c>
      <c r="Q78" s="57"/>
    </row>
    <row r="79" spans="1:17" ht="12.75">
      <c r="A79" s="55">
        <v>2007</v>
      </c>
      <c r="B79" s="365">
        <v>71777368</v>
      </c>
      <c r="C79" s="56">
        <v>5476157</v>
      </c>
      <c r="D79" s="362">
        <v>10954308</v>
      </c>
      <c r="E79" s="56">
        <v>87604.45</v>
      </c>
      <c r="F79" s="56">
        <v>1543656.7</v>
      </c>
      <c r="G79" s="56"/>
      <c r="H79" s="361">
        <v>46324108</v>
      </c>
      <c r="I79" s="365">
        <f t="shared" si="2"/>
        <v>136163202.14999998</v>
      </c>
      <c r="J79" s="365">
        <f>I79/'Pop &amp; CPI'!C80</f>
        <v>67541270.90773809</v>
      </c>
      <c r="K79" s="385">
        <f>J79/'Pop &amp; CPI'!B80</f>
        <v>26.217106828522656</v>
      </c>
      <c r="L79" s="73">
        <v>2.25</v>
      </c>
      <c r="M79" s="73"/>
      <c r="N79" s="83">
        <v>7.75</v>
      </c>
      <c r="O79" s="85">
        <v>0.45</v>
      </c>
      <c r="P79" s="177">
        <v>2.2599999999999998</v>
      </c>
      <c r="Q79" s="57"/>
    </row>
    <row r="80" spans="1:17" ht="12.75">
      <c r="A80" s="55">
        <v>2008</v>
      </c>
      <c r="B80" s="365">
        <v>77202044</v>
      </c>
      <c r="C80" s="56">
        <v>5989602</v>
      </c>
      <c r="D80" s="362">
        <v>11978203</v>
      </c>
      <c r="E80" s="56">
        <v>93511.29</v>
      </c>
      <c r="F80" s="56">
        <v>1636743.82</v>
      </c>
      <c r="G80" s="56"/>
      <c r="H80" s="361">
        <v>49168715</v>
      </c>
      <c r="I80" s="365">
        <f t="shared" si="2"/>
        <v>146068819.10999998</v>
      </c>
      <c r="J80" s="365">
        <f>I80/'Pop &amp; CPI'!C81</f>
        <v>70448254.145325109</v>
      </c>
      <c r="K80" s="385">
        <f>J80/'Pop &amp; CPI'!B81</f>
        <v>26.724677463776679</v>
      </c>
      <c r="L80" s="73">
        <v>2.25</v>
      </c>
      <c r="M80" s="73"/>
      <c r="N80" s="83">
        <v>7.75</v>
      </c>
      <c r="O80" s="85">
        <v>0.45</v>
      </c>
      <c r="P80" s="177">
        <v>2.2599999999999998</v>
      </c>
      <c r="Q80" s="57"/>
    </row>
    <row r="81" spans="1:17" ht="12.75">
      <c r="A81" s="55">
        <v>2009</v>
      </c>
      <c r="B81" s="365">
        <v>82979386</v>
      </c>
      <c r="C81" s="54">
        <v>7039211</v>
      </c>
      <c r="D81" s="362">
        <v>14076424</v>
      </c>
      <c r="E81" s="54">
        <v>97758.05</v>
      </c>
      <c r="F81" s="54">
        <v>1628735.09</v>
      </c>
      <c r="G81" s="54"/>
      <c r="H81" s="365">
        <v>42097617</v>
      </c>
      <c r="I81" s="365">
        <f t="shared" si="2"/>
        <v>147919131.14000002</v>
      </c>
      <c r="J81" s="365">
        <f>I81/'Pop &amp; CPI'!C82</f>
        <v>68702772.901445881</v>
      </c>
      <c r="K81" s="385">
        <f>J81/'Pop &amp; CPI'!B82</f>
        <v>25.529415946748561</v>
      </c>
      <c r="L81" s="73">
        <v>2.25</v>
      </c>
      <c r="M81" s="73"/>
      <c r="N81" s="83">
        <v>5.5</v>
      </c>
      <c r="O81" s="85">
        <v>0.45</v>
      </c>
      <c r="P81" s="177">
        <v>2.2599999999999998</v>
      </c>
      <c r="Q81" s="57"/>
    </row>
    <row r="82" spans="1:17" ht="12.75">
      <c r="A82" s="58">
        <v>2010</v>
      </c>
      <c r="B82" s="366">
        <v>80012959</v>
      </c>
      <c r="C82" s="60">
        <v>6918485</v>
      </c>
      <c r="D82" s="364">
        <v>13838005</v>
      </c>
      <c r="E82" s="60">
        <v>98016.22</v>
      </c>
      <c r="F82" s="60">
        <v>1062613.01</v>
      </c>
      <c r="G82" s="60">
        <v>3614877</v>
      </c>
      <c r="H82" s="366">
        <v>16090498</v>
      </c>
      <c r="I82" s="366">
        <f t="shared" si="2"/>
        <v>121635453.22999999</v>
      </c>
      <c r="J82" s="366">
        <f>I82/'Pop &amp; CPI'!C83</f>
        <v>56696725.147643521</v>
      </c>
      <c r="K82" s="386">
        <f>J82/'Pop &amp; CPI'!B83</f>
        <v>20.756170520744014</v>
      </c>
      <c r="L82" s="75">
        <v>2.25</v>
      </c>
      <c r="M82" s="75"/>
      <c r="N82" s="84">
        <v>4.3</v>
      </c>
      <c r="O82" s="86">
        <v>0.45</v>
      </c>
      <c r="P82" s="178">
        <v>2.2599999999999998</v>
      </c>
      <c r="Q82" s="61"/>
    </row>
    <row r="83" spans="1:17" ht="12.75">
      <c r="A83" s="68">
        <v>2011</v>
      </c>
      <c r="B83" s="367">
        <v>75891509</v>
      </c>
      <c r="C83" s="54">
        <v>6219440</v>
      </c>
      <c r="D83" s="362">
        <v>12440553</v>
      </c>
      <c r="E83" s="54">
        <v>92558.23</v>
      </c>
      <c r="F83" s="54">
        <v>1066299.45</v>
      </c>
      <c r="G83" s="54">
        <v>2125217</v>
      </c>
      <c r="H83" s="365">
        <v>14134349</v>
      </c>
      <c r="I83" s="365">
        <f t="shared" si="2"/>
        <v>111969925.68000001</v>
      </c>
      <c r="J83" s="365">
        <f>I83/'Pop &amp; CPI'!C84</f>
        <v>51349160.619290456</v>
      </c>
      <c r="K83" s="385">
        <f>J83/'Pop &amp; CPI'!B84</f>
        <v>18.519774652780271</v>
      </c>
      <c r="L83" s="73">
        <v>2.25</v>
      </c>
      <c r="M83" s="73"/>
      <c r="N83" s="83">
        <v>3.8</v>
      </c>
      <c r="O83" s="85">
        <v>0.45</v>
      </c>
      <c r="P83" s="177">
        <v>2.2599999999999998</v>
      </c>
      <c r="Q83" s="57"/>
    </row>
    <row r="84" spans="1:17" ht="12.75">
      <c r="A84" s="55">
        <v>2012</v>
      </c>
      <c r="B84" s="368">
        <v>84413666</v>
      </c>
      <c r="C84" s="54">
        <v>6816013</v>
      </c>
      <c r="D84" s="362">
        <v>13631360</v>
      </c>
      <c r="E84" s="54">
        <v>94941</v>
      </c>
      <c r="F84" s="54">
        <v>1047948.24</v>
      </c>
      <c r="G84" s="54">
        <v>2110018</v>
      </c>
      <c r="H84" s="365">
        <v>12908233</v>
      </c>
      <c r="I84" s="365">
        <f t="shared" si="2"/>
        <v>121022179.24000001</v>
      </c>
      <c r="J84" s="365">
        <f>I84/'Pop &amp; CPI'!C85</f>
        <v>53802221.597855426</v>
      </c>
      <c r="K84" s="385">
        <f>J84/'Pop &amp; CPI'!B85</f>
        <v>19.064665738225813</v>
      </c>
      <c r="L84" s="73">
        <v>2.25</v>
      </c>
      <c r="M84" s="73"/>
      <c r="N84" s="83">
        <v>3.8</v>
      </c>
      <c r="O84" s="85">
        <v>0.45</v>
      </c>
      <c r="P84" s="177">
        <v>2.2599999999999998</v>
      </c>
      <c r="Q84" s="45"/>
    </row>
    <row r="85" spans="1:17" ht="12.75">
      <c r="A85" s="55">
        <v>2013</v>
      </c>
      <c r="B85" s="368">
        <v>89591912</v>
      </c>
      <c r="C85" s="54">
        <v>6257339</v>
      </c>
      <c r="D85" s="362">
        <v>12514672</v>
      </c>
      <c r="E85" s="54">
        <v>92946.46</v>
      </c>
      <c r="F85" s="54">
        <v>1107574.7</v>
      </c>
      <c r="G85" s="54">
        <v>2215233</v>
      </c>
      <c r="H85" s="365">
        <v>13526952</v>
      </c>
      <c r="I85" s="365">
        <f t="shared" si="2"/>
        <v>125306629.16</v>
      </c>
      <c r="J85" s="365">
        <f>I85/'Pop &amp; CPI'!C86</f>
        <v>54577484.237392962</v>
      </c>
      <c r="K85" s="385">
        <f>J85/'Pop &amp; CPI'!B86</f>
        <v>19.033758976373534</v>
      </c>
      <c r="L85" s="73">
        <v>2.25</v>
      </c>
      <c r="M85" s="73"/>
      <c r="N85" s="83">
        <v>3.8</v>
      </c>
      <c r="O85" s="85">
        <v>0.45</v>
      </c>
      <c r="P85" s="177">
        <v>2.2599999999999998</v>
      </c>
      <c r="Q85" s="45"/>
    </row>
    <row r="86" spans="1:17" ht="12.75">
      <c r="A86" s="55">
        <v>2014</v>
      </c>
      <c r="B86" s="367">
        <v>91212497</v>
      </c>
      <c r="C86" s="56">
        <v>6870054</v>
      </c>
      <c r="D86" s="362">
        <v>13740105</v>
      </c>
      <c r="E86" s="56">
        <v>107404.97</v>
      </c>
      <c r="F86" s="56">
        <v>1227669.53</v>
      </c>
      <c r="G86" s="56">
        <v>2455365</v>
      </c>
      <c r="H86" s="361">
        <v>15126882</v>
      </c>
      <c r="I86" s="365">
        <f t="shared" si="2"/>
        <v>130739977.5</v>
      </c>
      <c r="J86" s="365">
        <f>I86/'Pop &amp; CPI'!C87</f>
        <v>56121935.593263991</v>
      </c>
      <c r="K86" s="385">
        <f>J86/'Pop &amp; CPI'!B87</f>
        <v>19.312289946780165</v>
      </c>
      <c r="L86" s="73">
        <v>2.25</v>
      </c>
      <c r="M86" s="73"/>
      <c r="N86" s="83">
        <v>4</v>
      </c>
      <c r="O86" s="85">
        <v>0.45</v>
      </c>
      <c r="P86" s="177">
        <v>2.2599999999999998</v>
      </c>
      <c r="Q86" s="45"/>
    </row>
    <row r="87" spans="1:17" ht="12.75">
      <c r="A87" s="55">
        <v>2015</v>
      </c>
      <c r="B87" s="367">
        <v>92385369</v>
      </c>
      <c r="C87" s="59">
        <v>7828799</v>
      </c>
      <c r="D87" s="364">
        <v>15657600</v>
      </c>
      <c r="E87" s="59">
        <v>112194.34</v>
      </c>
      <c r="F87" s="59">
        <v>1456602.3</v>
      </c>
      <c r="G87" s="59">
        <v>2913202</v>
      </c>
      <c r="H87" s="363">
        <v>18953208</v>
      </c>
      <c r="I87" s="366">
        <f t="shared" si="2"/>
        <v>139306974.64000002</v>
      </c>
      <c r="J87" s="366">
        <f>I87/'Pop &amp; CPI'!C88</f>
        <v>58844862.90213573</v>
      </c>
      <c r="K87" s="386">
        <f>J87/'Pop &amp; CPI'!B88</f>
        <v>19.967790483295875</v>
      </c>
      <c r="L87" s="75">
        <v>2.25</v>
      </c>
      <c r="M87" s="75"/>
      <c r="N87" s="84">
        <v>4.0999999999999996</v>
      </c>
      <c r="O87" s="86">
        <v>0.45</v>
      </c>
      <c r="P87" s="178">
        <v>2.2599999999999998</v>
      </c>
      <c r="Q87" s="61"/>
    </row>
    <row r="88" spans="1:17" ht="12.75">
      <c r="A88" s="37">
        <v>2016</v>
      </c>
      <c r="B88" s="369">
        <v>111658242</v>
      </c>
      <c r="C88" s="53">
        <v>4447488</v>
      </c>
      <c r="D88" s="376">
        <v>8894981</v>
      </c>
      <c r="E88" s="53">
        <v>121027.79</v>
      </c>
      <c r="F88" s="53">
        <v>1492946.71</v>
      </c>
      <c r="G88" s="53">
        <v>2985869</v>
      </c>
      <c r="H88" s="369">
        <v>19987746</v>
      </c>
      <c r="I88" s="380">
        <f t="shared" si="2"/>
        <v>149588300.5</v>
      </c>
      <c r="J88" s="380">
        <f>I88/'Pop &amp; CPI'!C89</f>
        <v>63112899.285705246</v>
      </c>
      <c r="K88" s="387">
        <f>J88/'Pop &amp; CPI'!B89</f>
        <v>21.011077894253798</v>
      </c>
      <c r="L88" s="161">
        <v>2.25</v>
      </c>
      <c r="M88" s="161"/>
      <c r="N88" s="171">
        <v>4.0999999999999996</v>
      </c>
      <c r="O88" s="172">
        <v>0.45</v>
      </c>
      <c r="P88" s="179">
        <v>2.2599999999999998</v>
      </c>
      <c r="Q88" s="160"/>
    </row>
    <row r="89" spans="1:17" ht="12.75">
      <c r="A89" s="121">
        <v>2017</v>
      </c>
      <c r="B89" s="361">
        <v>122023670</v>
      </c>
      <c r="C89" s="56">
        <v>2655423</v>
      </c>
      <c r="D89" s="362">
        <v>5310847</v>
      </c>
      <c r="E89" s="56">
        <v>125493.22</v>
      </c>
      <c r="F89" s="56">
        <v>1381997.94</v>
      </c>
      <c r="G89" s="56">
        <v>2763978</v>
      </c>
      <c r="H89" s="361">
        <v>19017279</v>
      </c>
      <c r="I89" s="365">
        <f t="shared" si="2"/>
        <v>153278688.16</v>
      </c>
      <c r="J89" s="365">
        <f>I89/'Pop &amp; CPI'!C90</f>
        <v>63864124.3127819</v>
      </c>
      <c r="K89" s="385">
        <f>J89/'Pop &amp; CPI'!B90</f>
        <v>20.854381525237169</v>
      </c>
      <c r="L89" s="73">
        <v>2.25</v>
      </c>
      <c r="M89" s="73"/>
      <c r="N89" s="83">
        <v>4</v>
      </c>
      <c r="O89" s="85">
        <v>0.45</v>
      </c>
      <c r="P89" s="177">
        <v>2.2599999999999998</v>
      </c>
      <c r="Q89" s="57"/>
    </row>
    <row r="90" spans="1:17" ht="12.75">
      <c r="A90" s="121">
        <v>2018</v>
      </c>
      <c r="B90" s="361">
        <v>133565203</v>
      </c>
      <c r="C90" s="56">
        <v>2220978</v>
      </c>
      <c r="D90" s="362">
        <v>4441954</v>
      </c>
      <c r="E90" s="56">
        <v>135287</v>
      </c>
      <c r="F90" s="56">
        <v>1304953</v>
      </c>
      <c r="G90" s="56">
        <v>2609912</v>
      </c>
      <c r="H90" s="361">
        <v>17298372</v>
      </c>
      <c r="I90" s="365">
        <f t="shared" si="2"/>
        <v>161576659</v>
      </c>
      <c r="J90" s="365">
        <f>I90/'Pop &amp; CPI'!C91</f>
        <v>65917505.135250352</v>
      </c>
      <c r="K90" s="385">
        <f>J90/'Pop &amp; CPI'!B91</f>
        <v>21.110642829712827</v>
      </c>
      <c r="L90" s="73">
        <v>2.25</v>
      </c>
      <c r="M90" s="73"/>
      <c r="N90" s="83">
        <v>4</v>
      </c>
      <c r="O90" s="85">
        <v>0.45</v>
      </c>
      <c r="P90" s="177">
        <v>2.2599999999999998</v>
      </c>
      <c r="Q90" s="57"/>
    </row>
    <row r="91" spans="1:17" ht="12.75">
      <c r="A91" s="121">
        <v>2019</v>
      </c>
      <c r="B91" s="361">
        <v>136635626</v>
      </c>
      <c r="C91" s="56">
        <v>4987002</v>
      </c>
      <c r="D91" s="362">
        <v>9974041</v>
      </c>
      <c r="E91" s="56">
        <v>159712</v>
      </c>
      <c r="F91" s="56">
        <v>1371070</v>
      </c>
      <c r="G91" s="56">
        <v>2742195</v>
      </c>
      <c r="H91" s="361">
        <v>16128321</v>
      </c>
      <c r="I91" s="365">
        <f t="shared" ref="I91:I92" si="3">H91+D91+C91+G91+F91+B91+E91</f>
        <v>171997967</v>
      </c>
      <c r="J91" s="365">
        <f>I91/'Pop &amp; CPI'!C92</f>
        <v>68495887.012309492</v>
      </c>
      <c r="K91" s="385">
        <f>J91/'Pop &amp; CPI'!B92</f>
        <v>21.564394301743437</v>
      </c>
      <c r="L91" s="73">
        <v>2.25</v>
      </c>
      <c r="M91" s="73"/>
      <c r="N91" s="81">
        <v>3</v>
      </c>
      <c r="O91" s="85">
        <v>0.45</v>
      </c>
      <c r="P91" s="80">
        <v>2.2599999999999998</v>
      </c>
      <c r="Q91" s="57"/>
    </row>
    <row r="92" spans="1:17" ht="12.75">
      <c r="A92" s="121">
        <v>2020</v>
      </c>
      <c r="B92" s="361">
        <v>142170077.45000002</v>
      </c>
      <c r="C92" s="56">
        <v>3974059.1400000006</v>
      </c>
      <c r="D92" s="362">
        <v>7948047.1000000006</v>
      </c>
      <c r="E92" s="56">
        <v>159297.32</v>
      </c>
      <c r="F92" s="56">
        <v>1365288.0699999996</v>
      </c>
      <c r="G92" s="56">
        <v>2730544.8100000005</v>
      </c>
      <c r="H92" s="361">
        <v>11486648.619999997</v>
      </c>
      <c r="I92" s="365">
        <f t="shared" si="3"/>
        <v>169833962.51000002</v>
      </c>
      <c r="J92" s="365">
        <f>I92/'Pop &amp; CPI'!C93</f>
        <v>66430268.038293414</v>
      </c>
      <c r="K92" s="385">
        <f>J92/'Pop &amp; CPI'!B93</f>
        <v>20.559592538031815</v>
      </c>
      <c r="L92" s="73">
        <v>2.25</v>
      </c>
      <c r="M92" s="73"/>
      <c r="N92" s="81">
        <v>2.75</v>
      </c>
      <c r="O92" s="85">
        <v>0.45</v>
      </c>
      <c r="P92" s="80">
        <v>2.2599999999999998</v>
      </c>
      <c r="Q92" s="57"/>
    </row>
    <row r="93" spans="1:17" ht="12.75">
      <c r="A93" s="37">
        <v>2021</v>
      </c>
      <c r="B93" s="369">
        <v>157396693.90000001</v>
      </c>
      <c r="C93" s="53">
        <v>4516251.0500000007</v>
      </c>
      <c r="D93" s="376">
        <v>9032568.1999999993</v>
      </c>
      <c r="E93" s="53">
        <v>172037.77000000005</v>
      </c>
      <c r="F93" s="53">
        <v>1303215.4100000001</v>
      </c>
      <c r="G93" s="53">
        <v>2606421.9000000004</v>
      </c>
      <c r="H93" s="369">
        <v>8530660.3399999999</v>
      </c>
      <c r="I93" s="380">
        <f t="shared" si="2"/>
        <v>183557848.57000002</v>
      </c>
      <c r="J93" s="380">
        <f>I93/'Pop &amp; CPI'!C94</f>
        <v>70923511.199292153</v>
      </c>
      <c r="K93" s="387">
        <f>J93/'Pop &amp; CPI'!B94</f>
        <v>21.59127331953416</v>
      </c>
      <c r="L93" s="161">
        <v>2.25</v>
      </c>
      <c r="M93" s="161"/>
      <c r="N93" s="328">
        <v>1.25</v>
      </c>
      <c r="O93" s="172">
        <v>0.45</v>
      </c>
      <c r="P93" s="329">
        <v>2.2599999999999998</v>
      </c>
      <c r="Q93" s="160"/>
    </row>
    <row r="94" spans="1:17" ht="12.75">
      <c r="A94" s="55">
        <v>2022</v>
      </c>
      <c r="B94" s="361">
        <v>179771647.96000001</v>
      </c>
      <c r="C94" s="56">
        <v>5195146.8900000006</v>
      </c>
      <c r="D94" s="362">
        <v>10390321.469999999</v>
      </c>
      <c r="E94" s="56">
        <v>190317.47</v>
      </c>
      <c r="F94" s="56">
        <v>1484137.1199999999</v>
      </c>
      <c r="G94" s="56">
        <v>2968220.08</v>
      </c>
      <c r="H94" s="361">
        <v>2479072.7300000004</v>
      </c>
      <c r="I94" s="365">
        <f t="shared" ref="I94:I97" si="4">H94+D94+C94+G94+F94+B94+E94</f>
        <v>202478863.72</v>
      </c>
      <c r="J94" s="365">
        <f>I94/'Pop &amp; CPI'!C95</f>
        <v>74723857.747827709</v>
      </c>
      <c r="K94" s="385">
        <f>J94/'Pop &amp; CPI'!B95</f>
        <v>22.355393212652768</v>
      </c>
      <c r="L94" s="73">
        <v>2.25</v>
      </c>
      <c r="M94" s="73"/>
      <c r="N94" s="81">
        <v>1.25</v>
      </c>
      <c r="O94" s="85">
        <v>0.45</v>
      </c>
      <c r="P94" s="80">
        <v>2.2599999999999998</v>
      </c>
      <c r="Q94" s="57"/>
    </row>
    <row r="95" spans="1:17" ht="12.75">
      <c r="A95" s="55">
        <v>2023</v>
      </c>
      <c r="B95" s="361">
        <v>192105528.32999998</v>
      </c>
      <c r="C95" s="56">
        <v>5485779.7699999996</v>
      </c>
      <c r="D95" s="362">
        <v>10971507.609999999</v>
      </c>
      <c r="E95" s="56">
        <v>207139.95</v>
      </c>
      <c r="F95" s="56">
        <v>1730241.6</v>
      </c>
      <c r="G95" s="56">
        <v>3460472.9300000006</v>
      </c>
      <c r="H95" s="361">
        <v>3300769.7399999993</v>
      </c>
      <c r="I95" s="365">
        <f t="shared" si="4"/>
        <v>217261439.92999998</v>
      </c>
      <c r="J95" s="365">
        <f>I95/'Pop &amp; CPI'!C96</f>
        <v>74238075.525789753</v>
      </c>
      <c r="K95" s="385">
        <f>J95/'Pop &amp; CPI'!B96</f>
        <v>21.831560558366171</v>
      </c>
      <c r="L95" s="73">
        <v>2.25</v>
      </c>
      <c r="M95" s="73"/>
      <c r="N95" s="81">
        <v>1.25</v>
      </c>
      <c r="O95" s="85">
        <v>0.45</v>
      </c>
      <c r="P95" s="80">
        <v>2.2599999999999998</v>
      </c>
      <c r="Q95" s="57"/>
    </row>
    <row r="96" spans="1:17" ht="12.75">
      <c r="A96" s="55">
        <v>2024</v>
      </c>
      <c r="B96" s="361">
        <v>212123442.24000001</v>
      </c>
      <c r="C96" s="56">
        <v>5810953.1800000006</v>
      </c>
      <c r="D96" s="362">
        <v>11621898.409999998</v>
      </c>
      <c r="E96" s="56">
        <v>239830.74</v>
      </c>
      <c r="F96" s="56">
        <v>1585357.15</v>
      </c>
      <c r="G96" s="56">
        <v>3170705.1100000003</v>
      </c>
      <c r="H96" s="361">
        <v>3169435.3100000005</v>
      </c>
      <c r="I96" s="365">
        <f t="shared" si="4"/>
        <v>237721622.14000002</v>
      </c>
      <c r="J96" s="365">
        <f>I96/'Pop &amp; CPI'!C97</f>
        <v>78017742.627222672</v>
      </c>
      <c r="K96" s="385">
        <f>J96/'Pop &amp; CPI'!B97</f>
        <v>22.571427134588429</v>
      </c>
      <c r="L96" s="73">
        <v>2.25</v>
      </c>
      <c r="M96" s="73"/>
      <c r="N96" s="81">
        <v>1.25</v>
      </c>
      <c r="O96" s="85">
        <v>0.45</v>
      </c>
      <c r="P96" s="80">
        <v>2.2599999999999998</v>
      </c>
      <c r="Q96" s="57"/>
    </row>
    <row r="97" spans="1:17" ht="13.5" thickBot="1">
      <c r="A97" s="314">
        <v>2025</v>
      </c>
      <c r="B97" s="370">
        <v>235469121.30999997</v>
      </c>
      <c r="C97" s="354">
        <v>6855896.8200000003</v>
      </c>
      <c r="D97" s="377">
        <v>13711793.550000001</v>
      </c>
      <c r="E97" s="354">
        <v>271647.11</v>
      </c>
      <c r="F97" s="354">
        <v>1660165.9299999997</v>
      </c>
      <c r="G97" s="354">
        <v>3320320.4699999997</v>
      </c>
      <c r="H97" s="370">
        <v>3320331.8200000003</v>
      </c>
      <c r="I97" s="381">
        <f t="shared" si="4"/>
        <v>264609277.00999999</v>
      </c>
      <c r="J97" s="381">
        <f>I97/'Pop &amp; CPI'!C98</f>
        <v>84354018.473711222</v>
      </c>
      <c r="K97" s="388">
        <f>J97/'Pop &amp; CPI'!B98</f>
        <v>24.054153192622877</v>
      </c>
      <c r="L97" s="330">
        <v>2.25</v>
      </c>
      <c r="M97" s="330"/>
      <c r="N97" s="331">
        <v>1.2</v>
      </c>
      <c r="O97" s="332">
        <v>0.45</v>
      </c>
      <c r="P97" s="333">
        <v>2.2599999999999998</v>
      </c>
      <c r="Q97" s="327"/>
    </row>
    <row r="98" spans="1:17" ht="6" customHeight="1">
      <c r="A98" s="456"/>
      <c r="B98" s="444"/>
      <c r="C98" s="444"/>
      <c r="D98" s="444"/>
      <c r="E98" s="444"/>
      <c r="F98" s="444"/>
      <c r="G98" s="444"/>
      <c r="H98" s="444"/>
      <c r="I98" s="444"/>
      <c r="J98" s="444"/>
      <c r="K98" s="444"/>
      <c r="L98" s="444"/>
      <c r="M98" s="444"/>
      <c r="N98" s="444"/>
      <c r="O98" s="444"/>
      <c r="P98" s="444"/>
      <c r="Q98" s="457"/>
    </row>
    <row r="99" spans="1:17" ht="13.15" customHeight="1">
      <c r="A99" s="453" t="s">
        <v>15</v>
      </c>
      <c r="B99" s="454"/>
      <c r="C99" s="454"/>
      <c r="D99" s="454"/>
      <c r="E99" s="454"/>
      <c r="F99" s="454"/>
      <c r="G99" s="454"/>
      <c r="H99" s="454"/>
      <c r="I99" s="454"/>
      <c r="J99" s="454"/>
      <c r="K99" s="454"/>
      <c r="L99" s="454"/>
      <c r="M99" s="454"/>
      <c r="N99" s="454"/>
      <c r="O99" s="454"/>
      <c r="P99" s="454"/>
      <c r="Q99" s="455"/>
    </row>
    <row r="100" spans="1:17" ht="13.15" customHeight="1">
      <c r="A100" s="453" t="s">
        <v>8</v>
      </c>
      <c r="B100" s="454"/>
      <c r="C100" s="454"/>
      <c r="D100" s="454"/>
      <c r="E100" s="454"/>
      <c r="F100" s="454"/>
      <c r="G100" s="454"/>
      <c r="H100" s="454"/>
      <c r="I100" s="454"/>
      <c r="J100" s="454"/>
      <c r="K100" s="454"/>
      <c r="L100" s="454"/>
      <c r="M100" s="454"/>
      <c r="N100" s="454"/>
      <c r="O100" s="454"/>
      <c r="P100" s="454"/>
      <c r="Q100" s="455"/>
    </row>
    <row r="101" spans="1:17" ht="13.15" customHeight="1" thickBot="1">
      <c r="A101" s="458" t="s">
        <v>31</v>
      </c>
      <c r="B101" s="459"/>
      <c r="C101" s="459"/>
      <c r="D101" s="459"/>
      <c r="E101" s="459"/>
      <c r="F101" s="459"/>
      <c r="G101" s="459"/>
      <c r="H101" s="459"/>
      <c r="I101" s="459"/>
      <c r="J101" s="459"/>
      <c r="K101" s="459"/>
      <c r="L101" s="459"/>
      <c r="M101" s="459"/>
      <c r="N101" s="459"/>
      <c r="O101" s="459"/>
      <c r="P101" s="459"/>
      <c r="Q101" s="460"/>
    </row>
  </sheetData>
  <mergeCells count="18">
    <mergeCell ref="A1:Q1"/>
    <mergeCell ref="L3:P3"/>
    <mergeCell ref="H3:H4"/>
    <mergeCell ref="D3:D4"/>
    <mergeCell ref="C3:C4"/>
    <mergeCell ref="B3:B4"/>
    <mergeCell ref="A3:A4"/>
    <mergeCell ref="Q3:Q4"/>
    <mergeCell ref="F3:F4"/>
    <mergeCell ref="E3:E4"/>
    <mergeCell ref="A98:Q98"/>
    <mergeCell ref="A99:Q99"/>
    <mergeCell ref="A100:Q100"/>
    <mergeCell ref="A101:Q101"/>
    <mergeCell ref="G3:G4"/>
    <mergeCell ref="I3:I4"/>
    <mergeCell ref="J3:J4"/>
    <mergeCell ref="K3:K4"/>
  </mergeCells>
  <phoneticPr fontId="0" type="noConversion"/>
  <pageMargins left="0.5" right="0.5" top="1" bottom="0.97" header="0.5" footer="0.5"/>
  <pageSetup orientation="landscape" horizontalDpi="4294967292" vertic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showGridLines="0" zoomScaleNormal="100" workbookViewId="0"/>
  </sheetViews>
  <sheetFormatPr defaultRowHeight="12.75"/>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54"/>
  <sheetViews>
    <sheetView showGridLines="0" workbookViewId="0">
      <pane ySplit="3" topLeftCell="A20" activePane="bottomLeft" state="frozen"/>
      <selection pane="bottomLeft" sqref="A1:E1"/>
    </sheetView>
  </sheetViews>
  <sheetFormatPr defaultColWidth="9.140625" defaultRowHeight="12.75"/>
  <cols>
    <col min="1" max="1" width="6.7109375" style="1" customWidth="1"/>
    <col min="2" max="3" width="13.140625" style="1" customWidth="1"/>
    <col min="4" max="5" width="10.5703125" style="1" customWidth="1"/>
    <col min="6" max="16384" width="9.140625" style="1"/>
  </cols>
  <sheetData>
    <row r="1" spans="1:5" ht="21.95" customHeight="1">
      <c r="A1" s="466" t="s">
        <v>70</v>
      </c>
      <c r="B1" s="466"/>
      <c r="C1" s="466"/>
      <c r="D1" s="466"/>
      <c r="E1" s="466"/>
    </row>
    <row r="2" spans="1:5" ht="6" customHeight="1" thickBot="1">
      <c r="A2" s="452"/>
      <c r="B2" s="452"/>
      <c r="C2" s="452"/>
      <c r="D2" s="452"/>
      <c r="E2" s="452"/>
    </row>
    <row r="3" spans="1:5" ht="26.25" thickBot="1">
      <c r="A3" s="46" t="s">
        <v>32</v>
      </c>
      <c r="B3" s="181" t="s">
        <v>23</v>
      </c>
      <c r="C3" s="181" t="s">
        <v>33</v>
      </c>
      <c r="D3" s="181" t="s">
        <v>34</v>
      </c>
      <c r="E3" s="182" t="s">
        <v>69</v>
      </c>
    </row>
    <row r="4" spans="1:5">
      <c r="A4" s="69">
        <v>1982</v>
      </c>
      <c r="B4" s="389">
        <v>1617373</v>
      </c>
      <c r="C4" s="397">
        <f>B4/'Pop &amp; CPI'!C55</f>
        <v>1779288.2288228823</v>
      </c>
      <c r="D4" s="260">
        <f>C4/'Pop &amp; CPI'!B55</f>
        <v>1.1744476757906814</v>
      </c>
      <c r="E4" s="141">
        <v>0.2</v>
      </c>
    </row>
    <row r="5" spans="1:5">
      <c r="A5" s="55">
        <v>1983</v>
      </c>
      <c r="B5" s="390">
        <v>1730952</v>
      </c>
      <c r="C5" s="398">
        <f>B5/'Pop &amp; CPI'!C56</f>
        <v>1793732.6424870468</v>
      </c>
      <c r="D5" s="87">
        <f>C5/'Pop &amp; CPI'!B56</f>
        <v>1.1513046485796192</v>
      </c>
      <c r="E5" s="88">
        <v>0.2</v>
      </c>
    </row>
    <row r="6" spans="1:5">
      <c r="A6" s="55">
        <v>1984</v>
      </c>
      <c r="B6" s="390">
        <v>2173090</v>
      </c>
      <c r="C6" s="398">
        <f>B6/'Pop &amp; CPI'!C57</f>
        <v>2181817.2690763054</v>
      </c>
      <c r="D6" s="87">
        <f>C6/'Pop &amp; CPI'!B57</f>
        <v>1.3679105135274643</v>
      </c>
      <c r="E6" s="88">
        <v>0.2</v>
      </c>
    </row>
    <row r="7" spans="1:5">
      <c r="A7" s="58">
        <v>1985</v>
      </c>
      <c r="B7" s="391">
        <v>2473266</v>
      </c>
      <c r="C7" s="399">
        <f>B7/'Pop &amp; CPI'!C58</f>
        <v>2380429.258902791</v>
      </c>
      <c r="D7" s="89">
        <f>C7/'Pop &amp; CPI'!B58</f>
        <v>1.4675889389043102</v>
      </c>
      <c r="E7" s="90">
        <v>0.2</v>
      </c>
    </row>
    <row r="8" spans="1:5">
      <c r="A8" s="55">
        <v>1986</v>
      </c>
      <c r="B8" s="390">
        <v>2313495</v>
      </c>
      <c r="C8" s="398">
        <f>B8/'Pop &amp; CPI'!C59</f>
        <v>2150088.2899628254</v>
      </c>
      <c r="D8" s="87">
        <f>C8/'Pop &amp; CPI'!B59</f>
        <v>1.3086355994904597</v>
      </c>
      <c r="E8" s="88">
        <v>0.2</v>
      </c>
    </row>
    <row r="9" spans="1:5">
      <c r="A9" s="55">
        <v>1987</v>
      </c>
      <c r="B9" s="390">
        <v>1232911</v>
      </c>
      <c r="C9" s="398">
        <f>B9/'Pop &amp; CPI'!C60</f>
        <v>1124918.7956204382</v>
      </c>
      <c r="D9" s="87">
        <f>C9/'Pop &amp; CPI'!B60</f>
        <v>0.67643944414939161</v>
      </c>
      <c r="E9" s="88">
        <v>0.2</v>
      </c>
    </row>
    <row r="10" spans="1:5">
      <c r="A10" s="55">
        <v>1988</v>
      </c>
      <c r="B10" s="390">
        <v>1825391</v>
      </c>
      <c r="C10" s="398">
        <f>B10/'Pop &amp; CPI'!C61</f>
        <v>1606858.2746478876</v>
      </c>
      <c r="D10" s="87">
        <f>C10/'Pop &amp; CPI'!B61</f>
        <v>0.95760326260303197</v>
      </c>
      <c r="E10" s="88">
        <v>0.2</v>
      </c>
    </row>
    <row r="11" spans="1:5">
      <c r="A11" s="55">
        <v>1989</v>
      </c>
      <c r="B11" s="390">
        <v>1064730</v>
      </c>
      <c r="C11" s="398">
        <f>B11/'Pop &amp; CPI'!C62</f>
        <v>900025.35925612843</v>
      </c>
      <c r="D11" s="87">
        <f>C11/'Pop &amp; CPI'!B62</f>
        <v>0.53255938417522397</v>
      </c>
      <c r="E11" s="88">
        <v>0.2</v>
      </c>
    </row>
    <row r="12" spans="1:5">
      <c r="A12" s="58">
        <v>1990</v>
      </c>
      <c r="B12" s="391">
        <v>1515236</v>
      </c>
      <c r="C12" s="399">
        <f>B12/'Pop &amp; CPI'!C63</f>
        <v>1221964.5161290322</v>
      </c>
      <c r="D12" s="89">
        <f>C12/'Pop &amp; CPI'!B63</f>
        <v>0.71627462844609158</v>
      </c>
      <c r="E12" s="90">
        <v>0.2</v>
      </c>
    </row>
    <row r="13" spans="1:5">
      <c r="A13" s="55">
        <v>1991</v>
      </c>
      <c r="B13" s="390">
        <v>1440823</v>
      </c>
      <c r="C13" s="398">
        <f>B13/'Pop &amp; CPI'!C64</f>
        <v>1102389.441469013</v>
      </c>
      <c r="D13" s="87">
        <f>C13/'Pop &amp; CPI'!B64</f>
        <v>0.63750418046272295</v>
      </c>
      <c r="E13" s="88">
        <v>0.2</v>
      </c>
    </row>
    <row r="14" spans="1:5">
      <c r="A14" s="55">
        <v>1992</v>
      </c>
      <c r="B14" s="390">
        <v>1114906</v>
      </c>
      <c r="C14" s="398">
        <f>B14/'Pop &amp; CPI'!C65</f>
        <v>818580.02936857566</v>
      </c>
      <c r="D14" s="87">
        <f>C14/'Pop &amp; CPI'!B65</f>
        <v>0.45965175974022565</v>
      </c>
      <c r="E14" s="88">
        <v>0.2</v>
      </c>
    </row>
    <row r="15" spans="1:5">
      <c r="A15" s="55">
        <v>1993</v>
      </c>
      <c r="B15" s="390">
        <v>1077270</v>
      </c>
      <c r="C15" s="398">
        <f>B15/'Pop &amp; CPI'!C66</f>
        <v>767833.21454027086</v>
      </c>
      <c r="D15" s="87">
        <f>C15/'Pop &amp; CPI'!B66</f>
        <v>0.41772087819881348</v>
      </c>
      <c r="E15" s="88">
        <v>0.2</v>
      </c>
    </row>
    <row r="16" spans="1:5">
      <c r="A16" s="55">
        <v>1994</v>
      </c>
      <c r="B16" s="390">
        <v>988123</v>
      </c>
      <c r="C16" s="398">
        <f>B16/'Pop &amp; CPI'!C67</f>
        <v>683822.14532871975</v>
      </c>
      <c r="D16" s="87">
        <f>C16/'Pop &amp; CPI'!B67</f>
        <v>0.36192689680162876</v>
      </c>
      <c r="E16" s="88">
        <v>0.2</v>
      </c>
    </row>
    <row r="17" spans="1:5">
      <c r="A17" s="58">
        <v>1995</v>
      </c>
      <c r="B17" s="391">
        <v>973717</v>
      </c>
      <c r="C17" s="399">
        <f>B17/'Pop &amp; CPI'!C68</f>
        <v>657029.0148448043</v>
      </c>
      <c r="D17" s="89">
        <f>C17/'Pop &amp; CPI'!B68</f>
        <v>0.33750548478431386</v>
      </c>
      <c r="E17" s="90">
        <v>0.2</v>
      </c>
    </row>
    <row r="18" spans="1:5">
      <c r="A18" s="55">
        <v>1996</v>
      </c>
      <c r="B18" s="390">
        <v>1076284</v>
      </c>
      <c r="C18" s="398">
        <f>B18/'Pop &amp; CPI'!C69</f>
        <v>706223.09711286088</v>
      </c>
      <c r="D18" s="87">
        <f>C18/'Pop &amp; CPI'!B69</f>
        <v>0.35395608778187798</v>
      </c>
      <c r="E18" s="88">
        <v>0.2</v>
      </c>
    </row>
    <row r="19" spans="1:5">
      <c r="A19" s="55">
        <v>1997</v>
      </c>
      <c r="B19" s="390">
        <v>1357303</v>
      </c>
      <c r="C19" s="398">
        <f>B19/'Pop &amp; CPI'!C70</f>
        <v>865075.20713830472</v>
      </c>
      <c r="D19" s="87">
        <f>C19/'Pop &amp; CPI'!B70</f>
        <v>0.42345595542121134</v>
      </c>
      <c r="E19" s="88">
        <v>0.2</v>
      </c>
    </row>
    <row r="20" spans="1:5">
      <c r="A20" s="55">
        <v>1998</v>
      </c>
      <c r="B20" s="390">
        <v>1181671</v>
      </c>
      <c r="C20" s="398">
        <f>B20/'Pop &amp; CPI'!C71</f>
        <v>736243.61370716512</v>
      </c>
      <c r="D20" s="87">
        <f>C20/'Pop &amp; CPI'!B71</f>
        <v>0.35069089144000293</v>
      </c>
      <c r="E20" s="88">
        <v>0.2</v>
      </c>
    </row>
    <row r="21" spans="1:5">
      <c r="A21" s="55">
        <v>1999</v>
      </c>
      <c r="B21" s="390">
        <v>1049293</v>
      </c>
      <c r="C21" s="398">
        <f>B21/'Pop &amp; CPI'!C72</f>
        <v>643738.03680981603</v>
      </c>
      <c r="D21" s="87">
        <f>C21/'Pop &amp; CPI'!B72</f>
        <v>0.30058293712916878</v>
      </c>
      <c r="E21" s="88">
        <v>0.2</v>
      </c>
    </row>
    <row r="22" spans="1:5">
      <c r="A22" s="58">
        <v>2000</v>
      </c>
      <c r="B22" s="391">
        <v>1204200</v>
      </c>
      <c r="C22" s="399">
        <f>B22/'Pop &amp; CPI'!C73</f>
        <v>722809.1236494598</v>
      </c>
      <c r="D22" s="89">
        <f>C22/'Pop &amp; CPI'!B73</f>
        <v>0.3295962194721328</v>
      </c>
      <c r="E22" s="90">
        <v>0.2</v>
      </c>
    </row>
    <row r="23" spans="1:5">
      <c r="A23" s="55">
        <v>2001</v>
      </c>
      <c r="B23" s="390">
        <v>2748318</v>
      </c>
      <c r="C23" s="398">
        <f>B23/'Pop &amp; CPI'!C74</f>
        <v>1596003.4843205574</v>
      </c>
      <c r="D23" s="87">
        <f>C23/'Pop &amp; CPI'!B74</f>
        <v>0.71045013074771479</v>
      </c>
      <c r="E23" s="88">
        <v>0.2</v>
      </c>
    </row>
    <row r="24" spans="1:5">
      <c r="A24" s="55">
        <v>2002</v>
      </c>
      <c r="B24" s="390">
        <v>1710219</v>
      </c>
      <c r="C24" s="398">
        <f>B24/'Pop &amp; CPI'!C75</f>
        <v>965679.84189723327</v>
      </c>
      <c r="D24" s="87">
        <f>C24/'Pop &amp; CPI'!B75</f>
        <v>0.42157753787695168</v>
      </c>
      <c r="E24" s="88">
        <v>0.2</v>
      </c>
    </row>
    <row r="25" spans="1:5">
      <c r="A25" s="55">
        <v>2003</v>
      </c>
      <c r="B25" s="390">
        <v>1943755</v>
      </c>
      <c r="C25" s="398">
        <f>B25/'Pop &amp; CPI'!C76</f>
        <v>1080464.1467481933</v>
      </c>
      <c r="D25" s="87">
        <f>C25/'Pop &amp; CPI'!B76</f>
        <v>0.46335539047432928</v>
      </c>
      <c r="E25" s="88">
        <v>0.2</v>
      </c>
    </row>
    <row r="26" spans="1:5">
      <c r="A26" s="55">
        <v>2004</v>
      </c>
      <c r="B26" s="390">
        <v>2696250</v>
      </c>
      <c r="C26" s="398">
        <f>B26/'Pop &amp; CPI'!C77</f>
        <v>1465353.2608695652</v>
      </c>
      <c r="D26" s="87">
        <f>C26/'Pop &amp; CPI'!B77</f>
        <v>0.61765192929424473</v>
      </c>
      <c r="E26" s="88">
        <v>0.2</v>
      </c>
    </row>
    <row r="27" spans="1:5">
      <c r="A27" s="58">
        <v>2005</v>
      </c>
      <c r="B27" s="391">
        <v>3631963</v>
      </c>
      <c r="C27" s="399">
        <f>B27/'Pop &amp; CPI'!C78</f>
        <v>1922690.8417151931</v>
      </c>
      <c r="D27" s="89">
        <f>C27/'Pop &amp; CPI'!B78</f>
        <v>0.7911581948303481</v>
      </c>
      <c r="E27" s="90">
        <v>0.2</v>
      </c>
    </row>
    <row r="28" spans="1:5">
      <c r="A28" s="55">
        <v>2006</v>
      </c>
      <c r="B28" s="390">
        <v>5560449</v>
      </c>
      <c r="C28" s="398">
        <f>B28/'Pop &amp; CPI'!C79</f>
        <v>2847132.104454685</v>
      </c>
      <c r="D28" s="87">
        <f>C28/'Pop &amp; CPI'!B79</f>
        <v>1.1361973214022925</v>
      </c>
      <c r="E28" s="88">
        <v>0.2</v>
      </c>
    </row>
    <row r="29" spans="1:5">
      <c r="A29" s="55">
        <v>2007</v>
      </c>
      <c r="B29" s="390">
        <v>4747883</v>
      </c>
      <c r="C29" s="398">
        <f>B29/'Pop &amp; CPI'!C80</f>
        <v>2355100.6944444445</v>
      </c>
      <c r="D29" s="87">
        <f>C29/'Pop &amp; CPI'!B80</f>
        <v>0.91416589691539241</v>
      </c>
      <c r="E29" s="88">
        <v>0.2</v>
      </c>
    </row>
    <row r="30" spans="1:5">
      <c r="A30" s="55">
        <v>2008</v>
      </c>
      <c r="B30" s="390">
        <v>5408934</v>
      </c>
      <c r="C30" s="398">
        <f>B30/'Pop &amp; CPI'!C81</f>
        <v>2608701.5655294149</v>
      </c>
      <c r="D30" s="87">
        <f>C30/'Pop &amp; CPI'!B81</f>
        <v>0.9896158362449532</v>
      </c>
      <c r="E30" s="88">
        <v>0.2</v>
      </c>
    </row>
    <row r="31" spans="1:5">
      <c r="A31" s="55">
        <v>2009</v>
      </c>
      <c r="B31" s="392">
        <v>6835191</v>
      </c>
      <c r="C31" s="398">
        <f>B31/'Pop &amp; CPI'!C82</f>
        <v>3174684.5143820574</v>
      </c>
      <c r="D31" s="87">
        <f>C31/'Pop &amp; CPI'!B82</f>
        <v>1.1796880685387201</v>
      </c>
      <c r="E31" s="88">
        <v>0.2</v>
      </c>
    </row>
    <row r="32" spans="1:5">
      <c r="A32" s="58">
        <v>2010</v>
      </c>
      <c r="B32" s="393">
        <v>4191039</v>
      </c>
      <c r="C32" s="399">
        <f>B32/'Pop &amp; CPI'!C83</f>
        <v>1953527.3635783102</v>
      </c>
      <c r="D32" s="89">
        <f>C32/'Pop &amp; CPI'!B83</f>
        <v>0.7151691207875025</v>
      </c>
      <c r="E32" s="90">
        <v>0.2</v>
      </c>
    </row>
    <row r="33" spans="1:5">
      <c r="A33" s="55">
        <v>2011</v>
      </c>
      <c r="B33" s="394">
        <v>5784545</v>
      </c>
      <c r="C33" s="398">
        <f>B33/'Pop &amp; CPI'!C84</f>
        <v>2652779.561213633</v>
      </c>
      <c r="D33" s="87">
        <f>C33/'Pop &amp; CPI'!B84</f>
        <v>0.95676110543317139</v>
      </c>
      <c r="E33" s="88">
        <v>0.2</v>
      </c>
    </row>
    <row r="34" spans="1:5">
      <c r="A34" s="55">
        <v>2012</v>
      </c>
      <c r="B34" s="395">
        <v>6432953</v>
      </c>
      <c r="C34" s="398">
        <f>B34/'Pop &amp; CPI'!C85</f>
        <v>2859865.5635527852</v>
      </c>
      <c r="D34" s="87">
        <f>C34/'Pop &amp; CPI'!B85</f>
        <v>1.0133853102372621</v>
      </c>
      <c r="E34" s="88">
        <v>0.2</v>
      </c>
    </row>
    <row r="35" spans="1:5">
      <c r="A35" s="55">
        <v>2013</v>
      </c>
      <c r="B35" s="390">
        <v>5870532</v>
      </c>
      <c r="C35" s="398">
        <f>B35/'Pop &amp; CPI'!C86</f>
        <v>2556918.7348101432</v>
      </c>
      <c r="D35" s="87">
        <f>C35/'Pop &amp; CPI'!B86</f>
        <v>0.8917189130386155</v>
      </c>
      <c r="E35" s="88">
        <v>0.2</v>
      </c>
    </row>
    <row r="36" spans="1:5">
      <c r="A36" s="55">
        <v>2014</v>
      </c>
      <c r="B36" s="390">
        <v>7821433</v>
      </c>
      <c r="C36" s="398">
        <f>B36/'Pop &amp; CPI'!C87</f>
        <v>3357457.814103032</v>
      </c>
      <c r="D36" s="87">
        <f>C36/'Pop &amp; CPI'!B87</f>
        <v>1.1553450198147281</v>
      </c>
      <c r="E36" s="88">
        <v>0.2</v>
      </c>
    </row>
    <row r="37" spans="1:5">
      <c r="A37" s="55">
        <v>2015</v>
      </c>
      <c r="B37" s="391">
        <v>6727949</v>
      </c>
      <c r="C37" s="399">
        <f>B37/'Pop &amp; CPI'!C88</f>
        <v>2841962.77710192</v>
      </c>
      <c r="D37" s="89">
        <f>C37/'Pop &amp; CPI'!B88</f>
        <v>0.96436144967953052</v>
      </c>
      <c r="E37" s="90">
        <v>0.2</v>
      </c>
    </row>
    <row r="38" spans="1:5">
      <c r="A38" s="68">
        <v>2016</v>
      </c>
      <c r="B38" s="396">
        <v>3121286</v>
      </c>
      <c r="C38" s="400">
        <f>B38/'Pop &amp; CPI'!C89</f>
        <v>1316903.8507786363</v>
      </c>
      <c r="D38" s="259">
        <f>C38/'Pop &amp; CPI'!B89</f>
        <v>0.43841385360377072</v>
      </c>
      <c r="E38" s="142">
        <v>0.2</v>
      </c>
    </row>
    <row r="39" spans="1:5">
      <c r="A39" s="55">
        <v>2017</v>
      </c>
      <c r="B39" s="390">
        <v>3337883</v>
      </c>
      <c r="C39" s="398">
        <f>B39/'Pop &amp; CPI'!C90</f>
        <v>1390741.12267325</v>
      </c>
      <c r="D39" s="87">
        <f>C39/'Pop &amp; CPI'!B90</f>
        <v>0.45413675184864144</v>
      </c>
      <c r="E39" s="88">
        <v>0.2</v>
      </c>
    </row>
    <row r="40" spans="1:5">
      <c r="A40" s="55">
        <v>2018</v>
      </c>
      <c r="B40" s="390">
        <v>3467648</v>
      </c>
      <c r="C40" s="398">
        <f>B40/'Pop &amp; CPI'!C91</f>
        <v>1414676.514924353</v>
      </c>
      <c r="D40" s="87">
        <f>C40/'Pop &amp; CPI'!B91</f>
        <v>0.45306221109057604</v>
      </c>
      <c r="E40" s="88">
        <v>0.2</v>
      </c>
    </row>
    <row r="41" spans="1:5">
      <c r="A41" s="55">
        <v>2019</v>
      </c>
      <c r="B41" s="390">
        <v>4524169</v>
      </c>
      <c r="C41" s="398">
        <f>B41/'Pop &amp; CPI'!C92</f>
        <v>1801689.7179290103</v>
      </c>
      <c r="D41" s="87">
        <f>C41/'Pop &amp; CPI'!B92</f>
        <v>0.5672216125887366</v>
      </c>
      <c r="E41" s="88">
        <v>0.2</v>
      </c>
    </row>
    <row r="42" spans="1:5">
      <c r="A42" s="55">
        <v>2020</v>
      </c>
      <c r="B42" s="390">
        <v>3663583.4500000007</v>
      </c>
      <c r="C42" s="398">
        <f>B42/'Pop &amp; CPI'!C93</f>
        <v>1433004.4884268993</v>
      </c>
      <c r="D42" s="87">
        <f>C42/'Pop &amp; CPI'!B93</f>
        <v>0.44350247646516427</v>
      </c>
      <c r="E42" s="88">
        <v>0.2</v>
      </c>
    </row>
    <row r="43" spans="1:5">
      <c r="A43" s="68">
        <v>2021</v>
      </c>
      <c r="B43" s="396">
        <v>2654179.4799999995</v>
      </c>
      <c r="C43" s="400">
        <f>B43/'Pop &amp; CPI'!C94</f>
        <v>1025528.080336616</v>
      </c>
      <c r="D43" s="259">
        <f>C43/'Pop &amp; CPI'!B94</f>
        <v>0.31220193000859287</v>
      </c>
      <c r="E43" s="142">
        <v>0.2</v>
      </c>
    </row>
    <row r="44" spans="1:5">
      <c r="A44" s="55">
        <v>2022</v>
      </c>
      <c r="B44" s="390">
        <v>6182810.1600000001</v>
      </c>
      <c r="C44" s="398">
        <f>B44/'Pop &amp; CPI'!C95</f>
        <v>2281736.5644472903</v>
      </c>
      <c r="D44" s="87">
        <f>C44/'Pop &amp; CPI'!B95</f>
        <v>0.68263496617169073</v>
      </c>
      <c r="E44" s="88">
        <v>0.2</v>
      </c>
    </row>
    <row r="45" spans="1:5">
      <c r="A45" s="55">
        <v>2023</v>
      </c>
      <c r="B45" s="390">
        <v>10379194</v>
      </c>
      <c r="C45" s="398">
        <f>B45/'Pop &amp; CPI'!C96</f>
        <v>3546563.0178879569</v>
      </c>
      <c r="D45" s="87">
        <f>C45/'Pop &amp; CPI'!B96</f>
        <v>1.0429554477363203</v>
      </c>
      <c r="E45" s="88">
        <v>0.2</v>
      </c>
    </row>
    <row r="46" spans="1:5">
      <c r="A46" s="55">
        <v>2024</v>
      </c>
      <c r="B46" s="390">
        <v>7764995.6800000006</v>
      </c>
      <c r="C46" s="398">
        <f>B46/'Pop &amp; CPI'!C97</f>
        <v>2548390.1254340308</v>
      </c>
      <c r="D46" s="87">
        <f>C46/'Pop &amp; CPI'!B97</f>
        <v>0.73727847140591585</v>
      </c>
      <c r="E46" s="88">
        <v>0.2</v>
      </c>
    </row>
    <row r="47" spans="1:5" ht="13.5" thickBot="1">
      <c r="A47" s="314">
        <v>2025</v>
      </c>
      <c r="B47" s="370">
        <v>7827004.4100000011</v>
      </c>
      <c r="C47" s="401">
        <f>B47/'Pop &amp; CPI'!C98</f>
        <v>2495147.8725744295</v>
      </c>
      <c r="D47" s="334">
        <f>C47/'Pop &amp; CPI'!B98</f>
        <v>0.7115093062680482</v>
      </c>
      <c r="E47" s="324">
        <v>0.2</v>
      </c>
    </row>
    <row r="48" spans="1:5" ht="6" customHeight="1">
      <c r="A48" s="467"/>
      <c r="B48" s="468"/>
      <c r="C48" s="468"/>
      <c r="D48" s="468"/>
      <c r="E48" s="469"/>
    </row>
    <row r="49" spans="1:5" ht="26.25" customHeight="1">
      <c r="A49" s="430" t="s">
        <v>5</v>
      </c>
      <c r="B49" s="431"/>
      <c r="C49" s="431"/>
      <c r="D49" s="431"/>
      <c r="E49" s="432"/>
    </row>
    <row r="50" spans="1:5" ht="15" customHeight="1">
      <c r="A50" s="453" t="s">
        <v>7</v>
      </c>
      <c r="B50" s="454"/>
      <c r="C50" s="454"/>
      <c r="D50" s="454"/>
      <c r="E50" s="455"/>
    </row>
    <row r="51" spans="1:5" ht="15" customHeight="1">
      <c r="A51" s="453" t="s">
        <v>6</v>
      </c>
      <c r="B51" s="454"/>
      <c r="C51" s="454"/>
      <c r="D51" s="454"/>
      <c r="E51" s="455"/>
    </row>
    <row r="52" spans="1:5" ht="23.25" customHeight="1" thickBot="1">
      <c r="A52" s="433" t="s">
        <v>71</v>
      </c>
      <c r="B52" s="434"/>
      <c r="C52" s="434"/>
      <c r="D52" s="434"/>
      <c r="E52" s="435"/>
    </row>
    <row r="54" spans="1:5">
      <c r="A54" s="156"/>
    </row>
  </sheetData>
  <mergeCells count="7">
    <mergeCell ref="A51:E51"/>
    <mergeCell ref="A52:E52"/>
    <mergeCell ref="A2:E2"/>
    <mergeCell ref="A1:E1"/>
    <mergeCell ref="A48:E48"/>
    <mergeCell ref="A49:E49"/>
    <mergeCell ref="A50:E50"/>
  </mergeCells>
  <phoneticPr fontId="0" type="noConversion"/>
  <pageMargins left="0.75" right="0.75" top="1" bottom="1" header="0.5" footer="0.5"/>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showGridLines="0" zoomScaleNormal="100" workbookViewId="0"/>
  </sheetViews>
  <sheetFormatPr defaultRowHeight="12.7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Total Excise</vt:lpstr>
      <vt:lpstr>Cigarette  and Tobacco Taxes</vt:lpstr>
      <vt:lpstr>Cigarette and Tobacco Charts</vt:lpstr>
      <vt:lpstr>Beer Tax</vt:lpstr>
      <vt:lpstr>Beer Tax Charts</vt:lpstr>
      <vt:lpstr>Insurance Premium Tax</vt:lpstr>
      <vt:lpstr>Insurance Premium Charts</vt:lpstr>
      <vt:lpstr>Oil &amp; Gas Conservation Fee</vt:lpstr>
      <vt:lpstr>O&amp;G Conservation Fee Charts</vt:lpstr>
      <vt:lpstr>Mining, Oil &amp; Gas Severance</vt:lpstr>
      <vt:lpstr>Mining, Oil &amp; Gas Charts</vt:lpstr>
      <vt:lpstr>Multi Channel Tax</vt:lpstr>
      <vt:lpstr>Pop &amp; CPI</vt:lpstr>
      <vt:lpstr>'Mining, Oil &amp; Gas Severance'!Print_Titles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Eric Cropper</cp:lastModifiedBy>
  <cp:lastPrinted>2015-06-16T20:36:36Z</cp:lastPrinted>
  <dcterms:created xsi:type="dcterms:W3CDTF">1999-10-08T18:14:57Z</dcterms:created>
  <dcterms:modified xsi:type="dcterms:W3CDTF">2025-11-18T20:40:48Z</dcterms:modified>
</cp:coreProperties>
</file>